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YQaw6McHFDJRS56DWEszrYnNu7NViCL4mB3oOFIegz4vKALeD7rrZzsbry0zFqqD3HPzI1qkcO0B2kKEmVRdTg==" workbookSaltValue="+TrcapUJGM9Ettbk3MLF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W19" i="8" l="1"/>
  <c r="AW13" i="1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13" i="21" s="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I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c r="DN18" i="19"/>
  <c r="DN19" i="19" s="1"/>
  <c r="DM18" i="19"/>
  <c r="DM19" i="19" s="1"/>
  <c r="DL18" i="19"/>
  <c r="DK18" i="19"/>
  <c r="DJ18" i="19"/>
  <c r="DI18" i="19"/>
  <c r="DH18" i="19"/>
  <c r="DG18" i="19"/>
  <c r="DF18" i="19"/>
  <c r="DF19" i="19" s="1"/>
  <c r="DE18" i="19"/>
  <c r="DE19" i="19" s="1"/>
  <c r="DD18" i="19"/>
  <c r="DD19" i="19" s="1"/>
  <c r="DC18" i="19"/>
  <c r="DC19" i="19" s="1"/>
  <c r="DB18" i="19"/>
  <c r="DB19" i="19"/>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O18" i="20" s="1"/>
  <c r="I18" i="19"/>
  <c r="AZ18" i="19"/>
  <c r="EN13" i="19"/>
  <c r="EM13" i="19"/>
  <c r="EL13" i="19"/>
  <c r="CV13" i="19"/>
  <c r="CU13" i="19"/>
  <c r="CT13" i="19"/>
  <c r="CS13" i="19"/>
  <c r="CL13" i="19"/>
  <c r="CK13" i="19"/>
  <c r="CK19" i="19" s="1"/>
  <c r="CJ13" i="19"/>
  <c r="AS13" i="21" s="1"/>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R19" i="19" s="1"/>
  <c r="Q13" i="19"/>
  <c r="P13" i="19"/>
  <c r="P19" i="19" s="1"/>
  <c r="O13" i="19"/>
  <c r="N13" i="19"/>
  <c r="N19" i="19" s="1"/>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8" i="17" s="1"/>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E13" i="17" s="1"/>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E12" i="13" s="1"/>
  <c r="BA11" i="13"/>
  <c r="AZ12" i="13"/>
  <c r="AZ11" i="13"/>
  <c r="AY12" i="13"/>
  <c r="AY11" i="13"/>
  <c r="BB9" i="13"/>
  <c r="BA9" i="13"/>
  <c r="AY9" i="13"/>
  <c r="BC12" i="13"/>
  <c r="BC11" i="13"/>
  <c r="BC10" i="13"/>
  <c r="BB10" i="13"/>
  <c r="BA10" i="13"/>
  <c r="AZ10" i="13"/>
  <c r="AY10" i="13"/>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8" i="11" s="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AN18" i="8"/>
  <c r="AM18" i="8"/>
  <c r="AL18" i="8"/>
  <c r="AK18" i="8"/>
  <c r="AJ18" i="8"/>
  <c r="T18" i="12" s="1"/>
  <c r="AI18" i="8"/>
  <c r="S18" i="12" s="1"/>
  <c r="AH18" i="8"/>
  <c r="AG18" i="8"/>
  <c r="AF18" i="8"/>
  <c r="AE18" i="8"/>
  <c r="AD18" i="8"/>
  <c r="AC18" i="8"/>
  <c r="AB18" i="8"/>
  <c r="AA18" i="8"/>
  <c r="Z18" i="8"/>
  <c r="Y18" i="8"/>
  <c r="X18" i="8"/>
  <c r="W18" i="8"/>
  <c r="V18" i="8"/>
  <c r="U18" i="8"/>
  <c r="T18" i="8"/>
  <c r="S18" i="8"/>
  <c r="R18" i="8"/>
  <c r="Q18" i="8"/>
  <c r="P18" i="8"/>
  <c r="O18" i="8"/>
  <c r="M18" i="8"/>
  <c r="N18" i="8"/>
  <c r="L18" i="8"/>
  <c r="K18" i="8"/>
  <c r="D18" i="7" s="1"/>
  <c r="J18" i="8"/>
  <c r="E18" i="12" s="1"/>
  <c r="I18" i="8"/>
  <c r="B18" i="7" s="1"/>
  <c r="CF13" i="8"/>
  <c r="N13" i="12" s="1"/>
  <c r="CE13" i="8"/>
  <c r="M13" i="12" s="1"/>
  <c r="CD13" i="8"/>
  <c r="CC13" i="8"/>
  <c r="CB13" i="8"/>
  <c r="CA13" i="8"/>
  <c r="BL13" i="8"/>
  <c r="BK13" i="8"/>
  <c r="BJ13" i="8"/>
  <c r="BI13" i="8"/>
  <c r="BH13" i="8"/>
  <c r="AR13" i="8"/>
  <c r="AQ13" i="8"/>
  <c r="AP13" i="8"/>
  <c r="B13" i="2" s="1"/>
  <c r="AO13" i="8"/>
  <c r="B13" i="3" s="1"/>
  <c r="AN13" i="8"/>
  <c r="AM13" i="8"/>
  <c r="AL13" i="8"/>
  <c r="AK13" i="8"/>
  <c r="AJ13" i="8"/>
  <c r="AI13" i="8"/>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AR13" i="21" s="1"/>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Y17" i="11" s="1"/>
  <c r="I15" i="2"/>
  <c r="I16" i="2"/>
  <c r="I17" i="2"/>
  <c r="G15" i="2"/>
  <c r="G16" i="2"/>
  <c r="G17" i="2"/>
  <c r="E15" i="2"/>
  <c r="E16" i="2"/>
  <c r="E17" i="2"/>
  <c r="C16" i="2"/>
  <c r="C17" i="2"/>
  <c r="D17" i="2" s="1"/>
  <c r="I9" i="2"/>
  <c r="I10" i="2"/>
  <c r="I11" i="2"/>
  <c r="I12" i="2"/>
  <c r="C10" i="2"/>
  <c r="C11" i="2"/>
  <c r="D11" i="2" s="1"/>
  <c r="C12" i="2"/>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BF9" i="8" s="1"/>
  <c r="AY10" i="8"/>
  <c r="AZ10" i="8"/>
  <c r="BA10" i="8"/>
  <c r="BB10" i="8"/>
  <c r="BC10" i="8"/>
  <c r="BC11" i="8"/>
  <c r="BF11" i="8" s="1"/>
  <c r="BC12" i="8"/>
  <c r="BC15" i="8"/>
  <c r="BF15" i="8" s="1"/>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E11" i="12" s="1"/>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E10" i="10"/>
  <c r="F10" i="10" s="1"/>
  <c r="H10" i="10"/>
  <c r="A11" i="10"/>
  <c r="B11" i="10"/>
  <c r="C11" i="10"/>
  <c r="D11" i="10"/>
  <c r="I11" i="10" s="1"/>
  <c r="K11" i="10" s="1"/>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S13" i="12"/>
  <c r="BD9" i="13"/>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S13" i="20"/>
  <c r="K13" i="20"/>
  <c r="AT13" i="20"/>
  <c r="AA13" i="20"/>
  <c r="R13" i="20"/>
  <c r="F13" i="20"/>
  <c r="CO19" i="8"/>
  <c r="V18" i="21"/>
  <c r="T18" i="21"/>
  <c r="U19" i="8"/>
  <c r="D18" i="12"/>
  <c r="ER19" i="8"/>
  <c r="EL19" i="8"/>
  <c r="BE12" i="21"/>
  <c r="EQ19" i="8"/>
  <c r="EN19" i="8"/>
  <c r="BA13" i="16"/>
  <c r="N11" i="11"/>
  <c r="ES19" i="8"/>
  <c r="L19" i="8"/>
  <c r="BM19" i="8"/>
  <c r="BK19" i="8"/>
  <c r="EP19" i="8"/>
  <c r="AL13" i="16"/>
  <c r="AJ13" i="16"/>
  <c r="S13" i="16"/>
  <c r="H18" i="16"/>
  <c r="BN18" i="16"/>
  <c r="P13" i="16"/>
  <c r="AM13" i="20"/>
  <c r="AN13" i="20"/>
  <c r="AT17" i="20"/>
  <c r="Z13" i="17"/>
  <c r="N13" i="2"/>
  <c r="T13" i="12"/>
  <c r="T13" i="20"/>
  <c r="BG12" i="8"/>
  <c r="T13" i="16"/>
  <c r="AP13" i="16"/>
  <c r="F15" i="16"/>
  <c r="BL15" i="16" s="1"/>
  <c r="T18" i="17"/>
  <c r="BF15" i="13"/>
  <c r="BG15" i="13"/>
  <c r="BA18" i="13"/>
  <c r="G18" i="14"/>
  <c r="AO20" i="20"/>
  <c r="AN20" i="20"/>
  <c r="H20" i="20"/>
  <c r="AM20" i="20"/>
  <c r="E20" i="20"/>
  <c r="I20" i="20"/>
  <c r="K20" i="20"/>
  <c r="P20" i="20"/>
  <c r="N20" i="20"/>
  <c r="AQ20" i="20"/>
  <c r="U12" i="11"/>
  <c r="W20" i="20"/>
  <c r="AK20" i="20"/>
  <c r="L20" i="20"/>
  <c r="AQ20" i="21"/>
  <c r="U16" i="11"/>
  <c r="F20" i="20"/>
  <c r="AU20" i="20"/>
  <c r="X20" i="20"/>
  <c r="AH20" i="20"/>
  <c r="AI20" i="20"/>
  <c r="AF20" i="20"/>
  <c r="AX20" i="20"/>
  <c r="AZ20" i="20"/>
  <c r="AG20" i="20"/>
  <c r="AC20" i="20"/>
  <c r="Q20" i="20"/>
  <c r="U10" i="11"/>
  <c r="Z20" i="20"/>
  <c r="AA20" i="20"/>
  <c r="M20" i="20"/>
  <c r="O20" i="20"/>
  <c r="W20" i="21"/>
  <c r="F17" i="17" l="1"/>
  <c r="AQ17" i="17" s="1"/>
  <c r="AM19" i="8"/>
  <c r="AC19" i="8"/>
  <c r="AK19" i="8"/>
  <c r="AA19" i="8"/>
  <c r="AI19" i="8"/>
  <c r="C12" i="14"/>
  <c r="K12" i="14" s="1"/>
  <c r="R19" i="8"/>
  <c r="T19" i="8"/>
  <c r="BG10" i="8"/>
  <c r="M13" i="2"/>
  <c r="X12" i="21"/>
  <c r="T17" i="11"/>
  <c r="BJ17" i="11"/>
  <c r="V11" i="16"/>
  <c r="BL12" i="11"/>
  <c r="V17" i="16"/>
  <c r="Q10" i="21"/>
  <c r="BJ12" i="11"/>
  <c r="BK17" i="11"/>
  <c r="BV17" i="16"/>
  <c r="BV11" i="16"/>
  <c r="V12" i="16"/>
  <c r="AZ12" i="11"/>
  <c r="BH10" i="11"/>
  <c r="S10" i="17"/>
  <c r="BF15" i="11"/>
  <c r="AQ12" i="21"/>
  <c r="BK10" i="11"/>
  <c r="L15" i="2"/>
  <c r="L17" i="2"/>
  <c r="X15" i="16"/>
  <c r="X18" i="16" s="1"/>
  <c r="V10" i="16"/>
  <c r="AA9" i="16"/>
  <c r="V9" i="16"/>
  <c r="BH9" i="16"/>
  <c r="BF16" i="11"/>
  <c r="BI15" i="11"/>
  <c r="BG15" i="11"/>
  <c r="BV12" i="16"/>
  <c r="U10" i="17"/>
  <c r="BG12" i="11"/>
  <c r="Q15" i="17"/>
  <c r="BH16" i="11"/>
  <c r="BJ16" i="11"/>
  <c r="BL16" i="11"/>
  <c r="S15" i="17"/>
  <c r="X10" i="21"/>
  <c r="AA11" i="16"/>
  <c r="BH15" i="16"/>
  <c r="V11" i="11"/>
  <c r="T15" i="16"/>
  <c r="AA16" i="16"/>
  <c r="AQ10" i="21"/>
  <c r="L12" i="2"/>
  <c r="L9" i="2"/>
  <c r="X11" i="17"/>
  <c r="BG12" i="13"/>
  <c r="BG9" i="8"/>
  <c r="BE9" i="8"/>
  <c r="BE12" i="8"/>
  <c r="I12" i="7" s="1"/>
  <c r="AY13" i="13"/>
  <c r="F17" i="16"/>
  <c r="BL17" i="16" s="1"/>
  <c r="BG16" i="13"/>
  <c r="BD16" i="13"/>
  <c r="BE15" i="13"/>
  <c r="BE16" i="13"/>
  <c r="H9" i="7"/>
  <c r="E12" i="6"/>
  <c r="BM17" i="11"/>
  <c r="BH10" i="16"/>
  <c r="T12" i="11"/>
  <c r="BI9" i="11"/>
  <c r="Q17" i="17"/>
  <c r="AZ11" i="11"/>
  <c r="AZ16" i="11"/>
  <c r="BU12" i="17"/>
  <c r="BW10" i="20"/>
  <c r="BW11" i="20"/>
  <c r="BW12" i="20"/>
  <c r="BU10" i="17"/>
  <c r="BU11" i="17"/>
  <c r="T17" i="16"/>
  <c r="R17" i="20"/>
  <c r="R18" i="20" s="1"/>
  <c r="AP15" i="20"/>
  <c r="BJ15" i="11"/>
  <c r="S9" i="14"/>
  <c r="V9" i="14" s="1"/>
  <c r="BI10" i="11"/>
  <c r="BK11" i="11"/>
  <c r="S17" i="16"/>
  <c r="BF17" i="11"/>
  <c r="Q17" i="20"/>
  <c r="Q18" i="20" s="1"/>
  <c r="BH15" i="11"/>
  <c r="V15" i="11"/>
  <c r="AP16" i="20"/>
  <c r="S12" i="14"/>
  <c r="V12" i="14" s="1"/>
  <c r="S16" i="14"/>
  <c r="V16" i="14" s="1"/>
  <c r="R17" i="14"/>
  <c r="T11" i="11"/>
  <c r="S11" i="14"/>
  <c r="V11" i="14" s="1"/>
  <c r="X16" i="17"/>
  <c r="X10" i="17"/>
  <c r="X17" i="17"/>
  <c r="T17" i="20"/>
  <c r="X17" i="20"/>
  <c r="U10" i="21"/>
  <c r="V12" i="21"/>
  <c r="AA12" i="21"/>
  <c r="X16" i="20"/>
  <c r="L11" i="2"/>
  <c r="X9" i="16"/>
  <c r="X19" i="16" s="1"/>
  <c r="V15" i="20"/>
  <c r="V18" i="20" s="1"/>
  <c r="BH12" i="16"/>
  <c r="BM9" i="11"/>
  <c r="S17" i="17"/>
  <c r="BG16" i="11"/>
  <c r="BH11" i="11"/>
  <c r="BK16" i="11"/>
  <c r="BJ10" i="11"/>
  <c r="R11" i="14"/>
  <c r="BL10" i="11"/>
  <c r="BL15" i="11"/>
  <c r="BF12" i="11"/>
  <c r="P15" i="17"/>
  <c r="S15" i="16"/>
  <c r="T16" i="11"/>
  <c r="X15" i="17"/>
  <c r="AA15" i="16"/>
  <c r="AA17" i="16"/>
  <c r="BV9" i="16"/>
  <c r="BU16" i="17"/>
  <c r="BU17" i="17"/>
  <c r="BV10" i="16"/>
  <c r="BU9" i="17"/>
  <c r="BW15" i="20"/>
  <c r="BV15" i="16"/>
  <c r="BW16" i="20"/>
  <c r="BV16" i="16"/>
  <c r="BW17" i="20"/>
  <c r="BW9" i="20"/>
  <c r="BU15" i="17"/>
  <c r="AP17" i="20"/>
  <c r="BM15" i="11"/>
  <c r="BH17" i="11"/>
  <c r="BL11" i="11"/>
  <c r="BG9" i="11"/>
  <c r="BI17" i="11"/>
  <c r="R10" i="21"/>
  <c r="R13" i="21" s="1"/>
  <c r="BJ11" i="11"/>
  <c r="V9" i="11"/>
  <c r="BH9" i="11"/>
  <c r="BM12" i="11"/>
  <c r="AP10" i="21"/>
  <c r="X9" i="17"/>
  <c r="BK15" i="11"/>
  <c r="BK9" i="11"/>
  <c r="BF10" i="11"/>
  <c r="BK12" i="11"/>
  <c r="BL17" i="11"/>
  <c r="P17" i="17"/>
  <c r="P18" i="17" s="1"/>
  <c r="P19" i="17" s="1"/>
  <c r="BM16" i="11"/>
  <c r="BG10" i="11"/>
  <c r="BH17" i="16"/>
  <c r="BL9" i="11"/>
  <c r="BH11" i="16"/>
  <c r="BF11" i="11"/>
  <c r="T9" i="11"/>
  <c r="S10" i="14"/>
  <c r="V10" i="14" s="1"/>
  <c r="S17" i="14"/>
  <c r="V17" i="14" s="1"/>
  <c r="R10" i="14"/>
  <c r="R12" i="14"/>
  <c r="R16" i="14"/>
  <c r="S15" i="14"/>
  <c r="V15" i="14" s="1"/>
  <c r="T15" i="11"/>
  <c r="AA10" i="16"/>
  <c r="X12" i="17"/>
  <c r="AQ13" i="21"/>
  <c r="AP18" i="20"/>
  <c r="V15" i="16"/>
  <c r="S9" i="17"/>
  <c r="S11" i="17"/>
  <c r="AZ9" i="11"/>
  <c r="AZ13" i="11" s="1"/>
  <c r="AZ15" i="11"/>
  <c r="AZ18" i="11" s="1"/>
  <c r="AZ17" i="11"/>
  <c r="L10" i="2"/>
  <c r="U9" i="17"/>
  <c r="U19" i="17" s="1"/>
  <c r="X12" i="16"/>
  <c r="S16" i="17"/>
  <c r="AT18" i="20"/>
  <c r="BN19" i="16"/>
  <c r="F11" i="16"/>
  <c r="BL11" i="16" s="1"/>
  <c r="AH13" i="16"/>
  <c r="BC13" i="13"/>
  <c r="AV18" i="21"/>
  <c r="G12" i="12"/>
  <c r="I19" i="8"/>
  <c r="BA13" i="8"/>
  <c r="AY13" i="8"/>
  <c r="BD12" i="8"/>
  <c r="H12" i="7" s="1"/>
  <c r="BG15" i="8"/>
  <c r="BD15" i="8"/>
  <c r="E13" i="17"/>
  <c r="N9" i="11"/>
  <c r="I12" i="10"/>
  <c r="K12" i="10" s="1"/>
  <c r="I10" i="10"/>
  <c r="K10" i="10" s="1"/>
  <c r="K15" i="7"/>
  <c r="B11" i="6"/>
  <c r="AO9" i="17"/>
  <c r="AL17" i="11"/>
  <c r="AL15" i="11"/>
  <c r="AM16" i="11"/>
  <c r="C17" i="6"/>
  <c r="C15" i="6"/>
  <c r="BE13" i="21"/>
  <c r="BE19" i="21" s="1"/>
  <c r="AE19" i="21"/>
  <c r="BB19" i="19"/>
  <c r="CN19" i="19"/>
  <c r="X13" i="20"/>
  <c r="Q19" i="13"/>
  <c r="AY18" i="8"/>
  <c r="S19" i="8"/>
  <c r="AJ19" i="8"/>
  <c r="H13" i="12"/>
  <c r="AL9" i="11"/>
  <c r="C18" i="7"/>
  <c r="AC10" i="11"/>
  <c r="F15" i="11"/>
  <c r="CI19" i="8"/>
  <c r="W19" i="8"/>
  <c r="Y19" i="8"/>
  <c r="AE19" i="8"/>
  <c r="E18" i="7"/>
  <c r="G18" i="12"/>
  <c r="Z19" i="8"/>
  <c r="AB19" i="8"/>
  <c r="R18" i="12"/>
  <c r="AH19" i="8"/>
  <c r="G12" i="3"/>
  <c r="G10" i="3"/>
  <c r="BF16" i="8"/>
  <c r="BF12" i="8"/>
  <c r="J12" i="7" s="1"/>
  <c r="C10" i="14"/>
  <c r="K10" i="14" s="1"/>
  <c r="BE15" i="8"/>
  <c r="BD16" i="8"/>
  <c r="G16" i="3"/>
  <c r="F16" i="17"/>
  <c r="M18" i="2"/>
  <c r="N18" i="2"/>
  <c r="K18" i="2"/>
  <c r="F15" i="17"/>
  <c r="AQ15" i="17" s="1"/>
  <c r="D11" i="12"/>
  <c r="H12" i="2"/>
  <c r="H10" i="2"/>
  <c r="I9" i="7"/>
  <c r="AO16" i="17"/>
  <c r="I18" i="2"/>
  <c r="J18" i="2" s="1"/>
  <c r="U19" i="19"/>
  <c r="EP19" i="19"/>
  <c r="ER19" i="19"/>
  <c r="S18" i="16"/>
  <c r="S19" i="16" s="1"/>
  <c r="BC18" i="13"/>
  <c r="BF18" i="13" s="1"/>
  <c r="BD12" i="13"/>
  <c r="AH13" i="11"/>
  <c r="AO10" i="11"/>
  <c r="AP9" i="11"/>
  <c r="X19" i="8"/>
  <c r="AR18" i="11"/>
  <c r="BM18" i="16"/>
  <c r="Q18" i="12"/>
  <c r="AG19" i="8"/>
  <c r="B18" i="3"/>
  <c r="D16" i="6"/>
  <c r="G11" i="3"/>
  <c r="AG13" i="11"/>
  <c r="BD17" i="8"/>
  <c r="H17" i="7" s="1"/>
  <c r="BE10" i="8"/>
  <c r="BE11" i="8"/>
  <c r="AO10" i="17"/>
  <c r="AO16" i="11"/>
  <c r="AO17" i="11"/>
  <c r="G18" i="2"/>
  <c r="L17" i="14"/>
  <c r="AF13" i="21"/>
  <c r="AF19" i="21" s="1"/>
  <c r="AV18" i="17"/>
  <c r="E9" i="12"/>
  <c r="G9" i="12"/>
  <c r="BJ18" i="11"/>
  <c r="E12" i="12"/>
  <c r="E9" i="6"/>
  <c r="K9" i="12" s="1"/>
  <c r="J15" i="7"/>
  <c r="L16" i="2"/>
  <c r="C11" i="6"/>
  <c r="I11" i="12" s="1"/>
  <c r="C9" i="6"/>
  <c r="I9" i="12" s="1"/>
  <c r="F12" i="21"/>
  <c r="AO13" i="21"/>
  <c r="T10" i="21"/>
  <c r="V10" i="21" s="1"/>
  <c r="H13" i="21"/>
  <c r="H21" i="21" s="1"/>
  <c r="BD18" i="19"/>
  <c r="BC19" i="19"/>
  <c r="AO19" i="19"/>
  <c r="AB13" i="21"/>
  <c r="AB19" i="21" s="1"/>
  <c r="AT18" i="17"/>
  <c r="AO19" i="13"/>
  <c r="AE19" i="13"/>
  <c r="U19" i="13"/>
  <c r="X19" i="13"/>
  <c r="BD17" i="13"/>
  <c r="BG10" i="13"/>
  <c r="D12" i="12"/>
  <c r="BG17" i="8"/>
  <c r="K17" i="7" s="1"/>
  <c r="H17" i="2"/>
  <c r="AO17" i="17"/>
  <c r="AO15" i="17"/>
  <c r="AP13" i="17"/>
  <c r="BJ13" i="16"/>
  <c r="AL19" i="8"/>
  <c r="C13" i="3"/>
  <c r="C19" i="3"/>
  <c r="O19" i="8"/>
  <c r="AW18" i="21"/>
  <c r="Q19" i="8"/>
  <c r="J9" i="2"/>
  <c r="I17" i="3"/>
  <c r="BI17" i="16"/>
  <c r="I15" i="3"/>
  <c r="E15" i="3"/>
  <c r="I11" i="3"/>
  <c r="AC19" i="17"/>
  <c r="W18" i="16"/>
  <c r="AZ19" i="11"/>
  <c r="AC12" i="11"/>
  <c r="D12" i="2"/>
  <c r="AO12" i="11"/>
  <c r="H15" i="7"/>
  <c r="K12" i="7"/>
  <c r="K10" i="7"/>
  <c r="AM15" i="11"/>
  <c r="AO12" i="17"/>
  <c r="B12" i="6"/>
  <c r="D12" i="6"/>
  <c r="AL12" i="11"/>
  <c r="I13" i="2"/>
  <c r="D16" i="2"/>
  <c r="L12" i="14"/>
  <c r="AN12" i="11"/>
  <c r="AM12" i="11"/>
  <c r="C12" i="6"/>
  <c r="B10" i="6"/>
  <c r="I10" i="7"/>
  <c r="D10" i="2"/>
  <c r="E10" i="6"/>
  <c r="K10" i="12" s="1"/>
  <c r="AO15" i="11"/>
  <c r="E15" i="6"/>
  <c r="K15" i="12" s="1"/>
  <c r="F15" i="2"/>
  <c r="B17" i="6"/>
  <c r="B15" i="6"/>
  <c r="H15" i="2"/>
  <c r="L15" i="14"/>
  <c r="I15" i="7"/>
  <c r="J15" i="2"/>
  <c r="AN10" i="11"/>
  <c r="AP13" i="20"/>
  <c r="M19" i="19"/>
  <c r="Y19" i="19"/>
  <c r="AC19" i="19"/>
  <c r="AG19" i="19"/>
  <c r="AK19" i="19"/>
  <c r="AQ19" i="19"/>
  <c r="AS19" i="19"/>
  <c r="AR13" i="20"/>
  <c r="V19" i="19"/>
  <c r="AB19" i="19"/>
  <c r="AD19" i="19"/>
  <c r="AJ19" i="19"/>
  <c r="W13" i="17"/>
  <c r="X13" i="17" s="1"/>
  <c r="AL19" i="16"/>
  <c r="AC19" i="13"/>
  <c r="AA19" i="13"/>
  <c r="W19" i="13"/>
  <c r="AN19" i="13"/>
  <c r="Z19" i="13"/>
  <c r="BE17" i="13"/>
  <c r="BF9" i="13"/>
  <c r="AZ13" i="13"/>
  <c r="ER19" i="13"/>
  <c r="BE11" i="13"/>
  <c r="BB18" i="13"/>
  <c r="BK13" i="11"/>
  <c r="J17" i="10"/>
  <c r="L17" i="10" s="1"/>
  <c r="AE13" i="11"/>
  <c r="D9" i="12"/>
  <c r="I16" i="3"/>
  <c r="I12" i="3"/>
  <c r="D13" i="5"/>
  <c r="BE17" i="8"/>
  <c r="I17" i="7" s="1"/>
  <c r="AO9" i="11"/>
  <c r="AO11" i="11"/>
  <c r="L10" i="14"/>
  <c r="E17" i="6"/>
  <c r="E16" i="6"/>
  <c r="L16" i="14"/>
  <c r="F16" i="11"/>
  <c r="Y12" i="11"/>
  <c r="Y10" i="11"/>
  <c r="AP15" i="11"/>
  <c r="AP12" i="11"/>
  <c r="AC17" i="11"/>
  <c r="AP13" i="21"/>
  <c r="AR13" i="11"/>
  <c r="G18" i="7"/>
  <c r="AT19" i="8"/>
  <c r="F9" i="12"/>
  <c r="F12" i="11"/>
  <c r="AQ12" i="11" s="1"/>
  <c r="J17" i="7"/>
  <c r="D17" i="6"/>
  <c r="J17" i="12" s="1"/>
  <c r="AN15" i="11"/>
  <c r="E16" i="3"/>
  <c r="E17" i="3"/>
  <c r="D10" i="6"/>
  <c r="E10" i="3"/>
  <c r="AN11" i="11"/>
  <c r="AN9" i="11"/>
  <c r="K9" i="7"/>
  <c r="AM9" i="11"/>
  <c r="E11" i="6"/>
  <c r="E13" i="2"/>
  <c r="G13" i="2"/>
  <c r="I11" i="7"/>
  <c r="AL11" i="11"/>
  <c r="L11" i="14"/>
  <c r="J11" i="7"/>
  <c r="AM11" i="11"/>
  <c r="C18" i="2"/>
  <c r="D18" i="2" s="1"/>
  <c r="E18" i="2"/>
  <c r="L9" i="14"/>
  <c r="C10" i="6"/>
  <c r="I10" i="12" s="1"/>
  <c r="B16" i="6"/>
  <c r="AN16" i="11"/>
  <c r="H16" i="7"/>
  <c r="J12" i="2"/>
  <c r="H11" i="2"/>
  <c r="J10" i="2"/>
  <c r="F9" i="2"/>
  <c r="J9" i="7"/>
  <c r="R19" i="21"/>
  <c r="L19" i="21"/>
  <c r="AG13" i="21"/>
  <c r="BF18" i="19"/>
  <c r="BE18" i="19"/>
  <c r="CJ19" i="19"/>
  <c r="BE13" i="19"/>
  <c r="AL19" i="19"/>
  <c r="AR19" i="19"/>
  <c r="EL19" i="19"/>
  <c r="S19" i="19"/>
  <c r="AA19" i="19"/>
  <c r="AI19" i="19"/>
  <c r="BK19" i="19"/>
  <c r="CL19" i="19"/>
  <c r="M13" i="21"/>
  <c r="M19" i="21" s="1"/>
  <c r="AM13" i="21"/>
  <c r="AP19" i="19"/>
  <c r="Q19" i="19"/>
  <c r="X19" i="19"/>
  <c r="AF19" i="19"/>
  <c r="AN19" i="19"/>
  <c r="AM19" i="19"/>
  <c r="BI19" i="19"/>
  <c r="AY19" i="19"/>
  <c r="F11" i="17"/>
  <c r="AQ11" i="17" s="1"/>
  <c r="O10" i="11"/>
  <c r="AD20" i="20"/>
  <c r="J20" i="20"/>
  <c r="R20" i="20"/>
  <c r="S20" i="20"/>
  <c r="AJ20" i="20"/>
  <c r="T20" i="20"/>
  <c r="AL20" i="20"/>
  <c r="Y20" i="20"/>
  <c r="AE20" i="20"/>
  <c r="G13" i="14"/>
  <c r="AP20" i="20"/>
  <c r="T20" i="21"/>
  <c r="I12" i="12" l="1"/>
  <c r="I15" i="12"/>
  <c r="J12" i="12"/>
  <c r="H19" i="21"/>
  <c r="AB21" i="21"/>
  <c r="C13" i="6"/>
  <c r="BB19" i="16"/>
  <c r="BK19" i="13"/>
  <c r="BH19" i="13"/>
  <c r="AQ19" i="13"/>
  <c r="AM19" i="13"/>
  <c r="AK19" i="13"/>
  <c r="Y19" i="13"/>
  <c r="S19" i="13"/>
  <c r="AB19" i="13"/>
  <c r="V19" i="13"/>
  <c r="BE10" i="13"/>
  <c r="BB13" i="13"/>
  <c r="BE9" i="13"/>
  <c r="BG9" i="13"/>
  <c r="BG11" i="13"/>
  <c r="BD11" i="13"/>
  <c r="AZ18" i="13"/>
  <c r="BD18" i="13" s="1"/>
  <c r="BA13" i="13"/>
  <c r="BM19" i="13"/>
  <c r="AD19" i="13"/>
  <c r="AI19" i="13"/>
  <c r="L19" i="13"/>
  <c r="N19" i="13"/>
  <c r="BD10" i="13"/>
  <c r="Q18" i="17"/>
  <c r="Q19" i="17" s="1"/>
  <c r="F13" i="2"/>
  <c r="J13" i="2"/>
  <c r="AN17" i="11"/>
  <c r="F10" i="2"/>
  <c r="F12" i="2"/>
  <c r="BI15" i="16"/>
  <c r="H18" i="3"/>
  <c r="I18" i="3" s="1"/>
  <c r="D15" i="6"/>
  <c r="J15" i="12" s="1"/>
  <c r="C13" i="5"/>
  <c r="J16" i="10"/>
  <c r="L16" i="10" s="1"/>
  <c r="J15" i="10"/>
  <c r="L15" i="10" s="1"/>
  <c r="J12" i="10"/>
  <c r="L12" i="10" s="1"/>
  <c r="J11" i="10"/>
  <c r="L11" i="10" s="1"/>
  <c r="C15" i="14"/>
  <c r="K15" i="14" s="1"/>
  <c r="BD11" i="8"/>
  <c r="H11" i="7" s="1"/>
  <c r="BG16" i="8"/>
  <c r="K16" i="12" s="1"/>
  <c r="AL10" i="11"/>
  <c r="N13" i="17"/>
  <c r="K13" i="17"/>
  <c r="J13" i="17"/>
  <c r="K18" i="17"/>
  <c r="AF13" i="17"/>
  <c r="AX21" i="17"/>
  <c r="AQ10" i="17"/>
  <c r="BC21" i="21"/>
  <c r="Y11" i="11"/>
  <c r="AQ10" i="11"/>
  <c r="AV13" i="11"/>
  <c r="AX21" i="11"/>
  <c r="R18" i="11"/>
  <c r="AA13" i="11"/>
  <c r="AB18" i="11"/>
  <c r="AF13" i="11"/>
  <c r="J13" i="11"/>
  <c r="I18" i="11"/>
  <c r="N12" i="11"/>
  <c r="P12" i="11" s="1"/>
  <c r="L18" i="11"/>
  <c r="AC11" i="11"/>
  <c r="AC15" i="11"/>
  <c r="H18" i="12"/>
  <c r="AV13" i="16"/>
  <c r="AG13" i="17"/>
  <c r="AJ18" i="17"/>
  <c r="AJ13" i="17"/>
  <c r="AK18" i="17"/>
  <c r="AK13" i="17"/>
  <c r="AL13" i="17"/>
  <c r="AM13" i="17"/>
  <c r="AV13" i="17"/>
  <c r="AV19" i="17" s="1"/>
  <c r="AT19" i="17"/>
  <c r="G13" i="16"/>
  <c r="EM19" i="8"/>
  <c r="G13" i="21"/>
  <c r="G21" i="21" s="1"/>
  <c r="E13" i="21"/>
  <c r="N13" i="21"/>
  <c r="O13" i="21"/>
  <c r="O19" i="21" s="1"/>
  <c r="AL13" i="21"/>
  <c r="AL21" i="21" s="1"/>
  <c r="AN13" i="21"/>
  <c r="AN19" i="21" s="1"/>
  <c r="AY13" i="21"/>
  <c r="BA21" i="21"/>
  <c r="AT10" i="21"/>
  <c r="C17" i="14"/>
  <c r="K17" i="14" s="1"/>
  <c r="F12" i="12"/>
  <c r="S18" i="11"/>
  <c r="Y9" i="11"/>
  <c r="F9" i="11"/>
  <c r="AU13" i="11"/>
  <c r="AP13" i="11" s="1"/>
  <c r="AT13" i="11"/>
  <c r="AP10" i="11"/>
  <c r="AV18" i="11"/>
  <c r="R13" i="11"/>
  <c r="R19" i="11" s="1"/>
  <c r="Z13" i="11"/>
  <c r="AD13" i="11"/>
  <c r="AF18" i="11"/>
  <c r="Q15" i="11"/>
  <c r="N17" i="11"/>
  <c r="F17" i="11"/>
  <c r="AQ17" i="11" s="1"/>
  <c r="I13" i="11"/>
  <c r="F11" i="11"/>
  <c r="AQ11" i="11" s="1"/>
  <c r="Q9" i="11"/>
  <c r="AI18" i="11"/>
  <c r="AI13" i="11"/>
  <c r="F11" i="12"/>
  <c r="AP17" i="11"/>
  <c r="AP11" i="11"/>
  <c r="J18" i="11"/>
  <c r="AQ15" i="11"/>
  <c r="AS13" i="11"/>
  <c r="AS18" i="11"/>
  <c r="E13" i="11"/>
  <c r="AH18" i="11"/>
  <c r="S13" i="11"/>
  <c r="T13" i="11" s="1"/>
  <c r="AY18" i="11"/>
  <c r="C18" i="5"/>
  <c r="B13" i="5"/>
  <c r="J9" i="10"/>
  <c r="L9" i="10" s="1"/>
  <c r="J10" i="10"/>
  <c r="L10" i="10" s="1"/>
  <c r="AM13" i="11"/>
  <c r="F18" i="2"/>
  <c r="B9" i="6"/>
  <c r="H9" i="2"/>
  <c r="D9" i="6"/>
  <c r="J9" i="12" s="1"/>
  <c r="AL16" i="11"/>
  <c r="BI16" i="16"/>
  <c r="C16" i="6"/>
  <c r="F17" i="2"/>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D21"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L19" i="11" s="1"/>
  <c r="AP16" i="11"/>
  <c r="Z18" i="11"/>
  <c r="AB13" i="11"/>
  <c r="BH18" i="11"/>
  <c r="AQ16" i="11"/>
  <c r="W18" i="11"/>
  <c r="Y16" i="11"/>
  <c r="X18" i="11"/>
  <c r="AC9" i="11"/>
  <c r="H13" i="11"/>
  <c r="E13" i="12" s="1"/>
  <c r="H18" i="11"/>
  <c r="X13" i="11"/>
  <c r="AA18" i="11"/>
  <c r="AA19" i="11" s="1"/>
  <c r="M18" i="11"/>
  <c r="C16" i="14"/>
  <c r="K16" i="14" s="1"/>
  <c r="J16" i="7"/>
  <c r="J16" i="12"/>
  <c r="F18" i="3"/>
  <c r="G18" i="3" s="1"/>
  <c r="H13" i="3"/>
  <c r="E18" i="6"/>
  <c r="BF18" i="11"/>
  <c r="BK18" i="11"/>
  <c r="BK19" i="11" s="1"/>
  <c r="P15" i="11"/>
  <c r="K12" i="12"/>
  <c r="AJ18" i="11"/>
  <c r="D18" i="5"/>
  <c r="D19" i="5" s="1"/>
  <c r="P17" i="11"/>
  <c r="F16" i="2"/>
  <c r="H16" i="2"/>
  <c r="J16" i="2"/>
  <c r="F13" i="3"/>
  <c r="E9" i="3"/>
  <c r="G9" i="3"/>
  <c r="T18" i="16"/>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I19" i="13"/>
  <c r="AL19" i="13"/>
  <c r="M19" i="13"/>
  <c r="BF17" i="13"/>
  <c r="J19" i="13"/>
  <c r="T19" i="13"/>
  <c r="BF11" i="13"/>
  <c r="I19" i="13"/>
  <c r="BF10" i="13"/>
  <c r="AF19" i="13"/>
  <c r="P19" i="13"/>
  <c r="AO21" i="20"/>
  <c r="T16" i="20"/>
  <c r="S18" i="20"/>
  <c r="S19" i="20" s="1"/>
  <c r="AW19" i="21"/>
  <c r="W18" i="20"/>
  <c r="L19" i="19"/>
  <c r="J19" i="19"/>
  <c r="M19" i="20"/>
  <c r="AD18" i="20"/>
  <c r="AD21" i="20" s="1"/>
  <c r="AI18" i="20"/>
  <c r="AI19" i="20" s="1"/>
  <c r="F16" i="20"/>
  <c r="AS16" i="20" s="1"/>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S19" i="21"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E18" i="14"/>
  <c r="F13" i="14"/>
  <c r="J19" i="8"/>
  <c r="C9" i="14"/>
  <c r="AQ9" i="11"/>
  <c r="BC18" i="8"/>
  <c r="AZ18" i="8"/>
  <c r="BE18" i="13"/>
  <c r="AQ16" i="17"/>
  <c r="T19" i="16"/>
  <c r="AY21" i="21"/>
  <c r="AG18" i="11"/>
  <c r="AG21" i="11" s="1"/>
  <c r="AK18" i="11"/>
  <c r="E13" i="14"/>
  <c r="U13" i="17"/>
  <c r="BV13" i="16"/>
  <c r="D19" i="12"/>
  <c r="I17" i="12"/>
  <c r="BW21" i="20"/>
  <c r="P9" i="11"/>
  <c r="Q10" i="11"/>
  <c r="AR19" i="20"/>
  <c r="D11" i="6"/>
  <c r="J11" i="12" s="1"/>
  <c r="E11" i="3"/>
  <c r="Q12" i="11"/>
  <c r="R15" i="14"/>
  <c r="BH16" i="16"/>
  <c r="AM17" i="11"/>
  <c r="BI16" i="11"/>
  <c r="BI18" i="11" s="1"/>
  <c r="BG17" i="11"/>
  <c r="BI11" i="11"/>
  <c r="P19" i="8"/>
  <c r="X19" i="21"/>
  <c r="H18" i="2"/>
  <c r="AO11" i="17"/>
  <c r="T10" i="11"/>
  <c r="AQ18" i="21"/>
  <c r="AM10" i="11"/>
  <c r="BG11" i="11"/>
  <c r="BI12" i="11"/>
  <c r="BJ9" i="11"/>
  <c r="BA19" i="19"/>
  <c r="BG19" i="19" s="1"/>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P20" i="16"/>
  <c r="BR20" i="16"/>
  <c r="AB20" i="20"/>
  <c r="AV20" i="20"/>
  <c r="AW20" i="11"/>
  <c r="AV20" i="21"/>
  <c r="U17" i="11"/>
  <c r="O16" i="11"/>
  <c r="H20" i="17"/>
  <c r="K16" i="7" l="1"/>
  <c r="G19" i="21"/>
  <c r="G20" i="21"/>
  <c r="BG21" i="16"/>
  <c r="I19" i="11"/>
  <c r="K19" i="17"/>
  <c r="G19" i="16"/>
  <c r="BK19" i="16"/>
  <c r="O19" i="16"/>
  <c r="AZ19" i="13"/>
  <c r="V17" i="11"/>
  <c r="I21" i="11"/>
  <c r="AI19" i="11"/>
  <c r="N19" i="2"/>
  <c r="I19" i="2"/>
  <c r="AO19" i="20"/>
  <c r="G21" i="20"/>
  <c r="AX21" i="20"/>
  <c r="BB19" i="13"/>
  <c r="AH19" i="11"/>
  <c r="D19" i="14"/>
  <c r="N18" i="11"/>
  <c r="E19" i="2"/>
  <c r="X18" i="20"/>
  <c r="AP19" i="20"/>
  <c r="AU19" i="21"/>
  <c r="F18" i="20"/>
  <c r="F21" i="20" s="1"/>
  <c r="AK19" i="20"/>
  <c r="E19" i="17"/>
  <c r="AO19" i="16"/>
  <c r="G21" i="11"/>
  <c r="T18" i="11"/>
  <c r="AN18" i="11"/>
  <c r="AN21" i="21"/>
  <c r="BE18" i="8"/>
  <c r="I18" i="7" s="1"/>
  <c r="AU21" i="21"/>
  <c r="BD19" i="16"/>
  <c r="BI18" i="16"/>
  <c r="E21" i="12"/>
  <c r="AJ21" i="11"/>
  <c r="AC13" i="11"/>
  <c r="AY19" i="21"/>
  <c r="G19" i="20"/>
  <c r="J21" i="20"/>
  <c r="AL19" i="21"/>
  <c r="AQ19" i="21"/>
  <c r="AN21" i="20"/>
  <c r="BG13" i="13"/>
  <c r="BD13" i="13"/>
  <c r="BE13" i="13"/>
  <c r="BA19" i="13"/>
  <c r="BF13" i="13"/>
  <c r="BC19" i="13"/>
  <c r="D19" i="2"/>
  <c r="AJ21" i="17"/>
  <c r="Z19" i="11"/>
  <c r="H19" i="11"/>
  <c r="W19" i="11"/>
  <c r="Y13" i="11"/>
  <c r="J19" i="11"/>
  <c r="F19" i="14"/>
  <c r="O18" i="11"/>
  <c r="AK19" i="11"/>
  <c r="AI21" i="11"/>
  <c r="AG19" i="11"/>
  <c r="Y18" i="11"/>
  <c r="X19" i="11"/>
  <c r="AB19" i="11"/>
  <c r="M19" i="11"/>
  <c r="G20" i="11"/>
  <c r="G19" i="11"/>
  <c r="F18" i="11"/>
  <c r="B19" i="5"/>
  <c r="U19" i="16"/>
  <c r="BF21" i="16"/>
  <c r="AC19" i="20"/>
  <c r="W20" i="11"/>
  <c r="D20" i="12"/>
  <c r="BD20" i="21"/>
  <c r="Z20" i="21"/>
  <c r="AA20" i="16"/>
  <c r="BQ20" i="16"/>
  <c r="AT20" i="11"/>
  <c r="AK20" i="11"/>
  <c r="AU20" i="11"/>
  <c r="U20" i="16"/>
  <c r="S20" i="16"/>
  <c r="I20" i="11"/>
  <c r="E20" i="17"/>
  <c r="AT20" i="20"/>
  <c r="BC20" i="16"/>
  <c r="AJ20" i="16"/>
  <c r="BC20" i="21"/>
  <c r="W20" i="17"/>
  <c r="AN20" i="16"/>
  <c r="BI20" i="16"/>
  <c r="AO20" i="11"/>
  <c r="AA20" i="17"/>
  <c r="J20" i="16"/>
  <c r="AO20" i="16"/>
  <c r="H20" i="11"/>
  <c r="BA20" i="16"/>
  <c r="AY20" i="21"/>
  <c r="O20" i="16"/>
  <c r="BG20" i="16"/>
  <c r="K20" i="16"/>
  <c r="AA20" i="11"/>
  <c r="Q20" i="11"/>
  <c r="N20" i="17"/>
  <c r="AI20" i="21"/>
  <c r="F20" i="16"/>
  <c r="F20" i="11"/>
  <c r="AR20" i="17"/>
  <c r="AW20" i="17"/>
  <c r="AP20" i="17"/>
  <c r="J20" i="11"/>
  <c r="AU20" i="16"/>
  <c r="I20" i="16"/>
  <c r="BB20" i="16"/>
  <c r="AP20" i="21"/>
  <c r="P20" i="16"/>
  <c r="AJ20" i="21"/>
  <c r="AC20" i="21"/>
  <c r="P20" i="17"/>
  <c r="F20" i="17"/>
  <c r="J20" i="21"/>
  <c r="AO20" i="21"/>
  <c r="AR20" i="16"/>
  <c r="K20" i="21"/>
  <c r="Z20" i="16"/>
  <c r="M20" i="16"/>
  <c r="AY20" i="16"/>
  <c r="AS20" i="17"/>
  <c r="AD20" i="11"/>
  <c r="AV20" i="16"/>
  <c r="T20" i="11"/>
  <c r="AG20" i="16"/>
  <c r="AN20" i="11"/>
  <c r="BE20" i="16"/>
  <c r="S20" i="11"/>
  <c r="AD20" i="21"/>
  <c r="N20" i="21"/>
  <c r="AN20" i="17"/>
  <c r="V20" i="21"/>
  <c r="Z20" i="17"/>
  <c r="AN20" i="21"/>
  <c r="AK20" i="17"/>
  <c r="BM20" i="16"/>
  <c r="S20" i="17"/>
  <c r="AJ20" i="17"/>
  <c r="V20" i="17"/>
  <c r="AZ20" i="11"/>
  <c r="P20" i="21"/>
  <c r="AS20" i="11"/>
  <c r="O17" i="11"/>
  <c r="M20" i="11"/>
  <c r="M20" i="21"/>
  <c r="AB20" i="16"/>
  <c r="AH20" i="11"/>
  <c r="E20" i="11"/>
  <c r="AR20" i="11"/>
  <c r="BH20" i="16"/>
  <c r="T20" i="17"/>
  <c r="AL20" i="21"/>
  <c r="AC20" i="17"/>
  <c r="AH20" i="17"/>
  <c r="AE20" i="11"/>
  <c r="Q20" i="16"/>
  <c r="BD20" i="16"/>
  <c r="Z20" i="11"/>
  <c r="AR20" i="20"/>
  <c r="Y20" i="17"/>
  <c r="O20" i="17"/>
  <c r="G20" i="12"/>
  <c r="J20" i="17"/>
  <c r="AK20" i="21"/>
  <c r="V20" i="11"/>
  <c r="AM20" i="16"/>
  <c r="L20" i="11"/>
  <c r="I20" i="17"/>
  <c r="AS20" i="16"/>
  <c r="O20" i="21"/>
  <c r="AE20" i="16"/>
  <c r="AQ20" i="16"/>
  <c r="AF20" i="16"/>
  <c r="Q20" i="21"/>
  <c r="AH20" i="21"/>
  <c r="AV20" i="17"/>
  <c r="X20" i="21"/>
  <c r="AI20" i="11"/>
  <c r="K20" i="12"/>
  <c r="L20" i="17"/>
  <c r="L20" i="16"/>
  <c r="X20" i="17"/>
  <c r="BO20" i="16"/>
  <c r="BK20" i="16"/>
  <c r="U20" i="21"/>
  <c r="K20" i="11"/>
  <c r="N20" i="16"/>
  <c r="AP20" i="16"/>
  <c r="AL20" i="16"/>
  <c r="AH20" i="16"/>
  <c r="U20" i="20"/>
  <c r="AB20" i="17"/>
  <c r="L20" i="21"/>
  <c r="AT20" i="17"/>
  <c r="AU20" i="21"/>
  <c r="R20" i="11"/>
  <c r="AE20" i="21"/>
  <c r="F20" i="21"/>
  <c r="AK20" i="16"/>
  <c r="AF20" i="21"/>
  <c r="S20" i="21"/>
  <c r="AC20" i="11"/>
  <c r="AI20" i="17"/>
  <c r="O20" i="11"/>
  <c r="V20" i="20"/>
  <c r="AB20" i="21"/>
  <c r="AA20" i="21"/>
  <c r="V20" i="16"/>
  <c r="AM20" i="11"/>
  <c r="AS20" i="21"/>
  <c r="BS20" i="16"/>
  <c r="R20" i="21"/>
  <c r="P20" i="11"/>
  <c r="T20" i="16"/>
  <c r="AY20" i="11"/>
  <c r="AL20" i="17"/>
  <c r="BN20" i="16"/>
  <c r="AR20" i="21"/>
  <c r="AF20" i="11"/>
  <c r="E20" i="21"/>
  <c r="AV20" i="11"/>
  <c r="AM20" i="17"/>
  <c r="X20" i="11"/>
  <c r="Q20" i="17"/>
  <c r="AE20" i="17"/>
  <c r="F20" i="12"/>
  <c r="AX20" i="16"/>
  <c r="BE20" i="21"/>
  <c r="I20" i="21"/>
  <c r="AG20" i="11"/>
  <c r="AD20" i="16"/>
  <c r="AF20" i="17"/>
  <c r="K20" i="17"/>
  <c r="AI20" i="16"/>
  <c r="J20" i="12"/>
  <c r="AG20" i="21"/>
  <c r="BJ20" i="16"/>
  <c r="I20" i="12"/>
  <c r="U20" i="11"/>
  <c r="R20" i="17"/>
  <c r="AC20" i="16"/>
  <c r="AD20" i="17"/>
  <c r="AT20" i="16"/>
  <c r="R20" i="16"/>
  <c r="AW20" i="21"/>
  <c r="E20" i="12"/>
  <c r="U20" i="17"/>
  <c r="H20" i="12"/>
  <c r="W20" i="16"/>
  <c r="AO20" i="17"/>
  <c r="M20" i="17"/>
  <c r="AB20" i="11"/>
  <c r="H20" i="21"/>
  <c r="X20" i="16"/>
  <c r="AW20" i="16"/>
  <c r="H20" i="16"/>
  <c r="AJ20" i="11"/>
  <c r="AL20" i="11"/>
  <c r="Y20" i="16"/>
  <c r="E20" i="16"/>
  <c r="AG20" i="17"/>
  <c r="AM20" i="21"/>
  <c r="N20" i="11"/>
  <c r="Y20" i="21"/>
  <c r="Q18" i="11" l="1"/>
  <c r="BF19" i="13"/>
  <c r="BD19" i="13"/>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Z20" i="16"/>
  <c r="Y20" i="11"/>
  <c r="O12" i="11"/>
  <c r="BF20" i="16"/>
  <c r="BD19" i="8" l="1"/>
  <c r="BM19" i="11"/>
  <c r="BG19" i="11"/>
  <c r="AO21" i="11"/>
  <c r="BV19" i="16"/>
  <c r="BV21" i="16"/>
  <c r="G19" i="3"/>
  <c r="Q13" i="11"/>
  <c r="F19" i="2"/>
  <c r="BG19" i="8"/>
  <c r="I19" i="3"/>
  <c r="H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S19" i="11"/>
  <c r="T19" i="11" s="1"/>
  <c r="I19" i="7"/>
  <c r="AV19" i="1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<sst xmlns="http://schemas.openxmlformats.org/spreadsheetml/2006/main" count="2094" uniqueCount="913">
  <si>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</si>
  <si>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</si>
  <si>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</si>
  <si>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</si>
  <si>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</si>
  <si>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</si>
  <si>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</si>
  <si>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</si>
  <si>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</si>
  <si>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</si>
  <si>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</si>
  <si>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</si>
  <si>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</si>
  <si>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</si>
  <si>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</si>
  <si>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</si>
  <si>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</si>
  <si>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</si>
  <si>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</si>
  <si>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</si>
  <si>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</si>
  <si>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</si>
  <si>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</si>
  <si>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</si>
  <si>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</si>
  <si>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</si>
  <si>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</si>
  <si>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</si>
  <si>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</si>
  <si>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</si>
  <si>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</si>
  <si>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</si>
  <si>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</si>
  <si>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</si>
  <si>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</si>
  <si>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</si>
  <si>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</si>
  <si>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</si>
  <si>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</si>
  <si>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</si>
  <si>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</si>
  <si>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</si>
  <si>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</si>
  <si>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</si>
  <si>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</si>
  <si>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</si>
  <si>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</si>
  <si>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</si>
  <si>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</si>
  <si>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</si>
  <si>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</si>
  <si>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</si>
  <si>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</si>
  <si>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</si>
  <si>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</si>
  <si>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</si>
  <si>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</si>
  <si>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</si>
  <si>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</si>
  <si>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</si>
  <si>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</si>
  <si>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</si>
  <si>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</si>
  <si>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</si>
  <si>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</si>
  <si>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</si>
  <si>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</si>
  <si>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</si>
  <si>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</si>
  <si>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</si>
  <si>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</si>
  <si>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</si>
  <si>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</si>
  <si>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</si>
  <si>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</si>
  <si>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</si>
  <si>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</si>
  <si>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</si>
  <si>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</si>
  <si>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</si>
  <si>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</si>
  <si>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</si>
  <si>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</si>
  <si>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</si>
  <si>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</si>
  <si>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</si>
  <si>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</si>
  <si>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</si>
  <si>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</si>
  <si>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</si>
  <si>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</si>
  <si>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</si>
  <si>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</si>
  <si>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</si>
  <si>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</si>
  <si>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</si>
  <si>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</si>
  <si>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</si>
  <si>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</si>
  <si>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</si>
  <si>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</si>
  <si>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</si>
  <si>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</si>
  <si>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</si>
  <si>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</si>
  <si>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</si>
  <si>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</si>
  <si>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</si>
  <si>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</si>
  <si>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</si>
  <si>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</si>
  <si>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</si>
  <si>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</si>
  <si>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</si>
  <si>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</si>
  <si>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</si>
  <si>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</si>
  <si>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</si>
  <si>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</si>
  <si>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</si>
  <si>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</si>
  <si>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</si>
  <si>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</si>
  <si>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</si>
  <si>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</si>
  <si>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</si>
  <si>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</si>
  <si>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</si>
  <si>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</si>
  <si>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</si>
  <si>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</si>
  <si>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</si>
  <si>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</si>
  <si>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</si>
  <si>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</si>
  <si>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</si>
  <si>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</si>
  <si>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</si>
  <si>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</si>
  <si>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</si>
  <si>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</si>
  <si>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</si>
  <si>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</si>
  <si>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</si>
  <si>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</si>
  <si>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</si>
  <si>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</si>
  <si>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</si>
  <si>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</si>
  <si>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</si>
  <si>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</si>
  <si>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</si>
  <si>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</si>
  <si>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</si>
  <si>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TVOLU315</t>
  </si>
  <si>
    <t>TVOLU415</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</si>
  <si>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</si>
  <si>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</si>
  <si>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</si>
  <si>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</si>
  <si>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</si>
  <si>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</si>
  <si>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</si>
  <si>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</si>
  <si>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</si>
  <si>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</si>
  <si>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</si>
  <si>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</si>
  <si>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</si>
  <si>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</si>
  <si>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</si>
  <si>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</si>
  <si>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</si>
  <si>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</si>
  <si>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</si>
  <si>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</si>
  <si>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</si>
  <si>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</si>
  <si>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</si>
  <si>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</si>
  <si>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</si>
  <si>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</si>
  <si>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</si>
  <si>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</si>
  <si>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</si>
  <si>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</si>
  <si>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</si>
  <si>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</si>
  <si>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</si>
  <si>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</si>
  <si>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</si>
  <si>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</si>
  <si>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</si>
  <si>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</si>
  <si>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</si>
  <si>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</si>
  <si>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</si>
  <si>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</si>
  <si>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</si>
  <si>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</si>
  <si>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</si>
  <si>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</si>
  <si>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</si>
  <si>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</si>
  <si>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</si>
  <si>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</si>
  <si>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</si>
  <si>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</si>
  <si>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</si>
  <si>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</si>
  <si>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</si>
  <si>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</si>
  <si>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</si>
  <si>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</si>
  <si>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</si>
  <si>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</si>
  <si>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</si>
  <si>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</si>
  <si>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</si>
  <si>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</si>
  <si>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</si>
  <si>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</si>
  <si>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</si>
  <si>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</si>
  <si>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</si>
  <si>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</si>
  <si>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</si>
  <si>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</si>
  <si>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</si>
  <si>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</si>
  <si>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</si>
  <si>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</si>
  <si>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</si>
  <si>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</si>
  <si>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</si>
  <si>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</si>
  <si>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</si>
  <si>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</si>
  <si>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</si>
  <si>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</si>
  <si>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</si>
  <si>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</si>
  <si>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</si>
  <si>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</si>
  <si>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</si>
  <si>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</si>
  <si>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</si>
  <si>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</si>
  <si>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</si>
  <si>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</si>
  <si>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</si>
  <si>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</si>
  <si>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</si>
  <si>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</si>
  <si>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</si>
  <si>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</si>
  <si>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</si>
  <si>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</si>
  <si>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</si>
  <si>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</si>
  <si>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</si>
  <si>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</si>
  <si>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</si>
  <si>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</si>
  <si>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</si>
  <si>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</si>
  <si>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</si>
  <si>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</si>
  <si>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</si>
  <si>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</si>
  <si>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</si>
  <si>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</si>
  <si>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</si>
  <si>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</si>
  <si>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</si>
  <si>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</si>
  <si>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</si>
  <si>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</si>
  <si>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</si>
  <si>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</si>
  <si>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</si>
  <si>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</si>
  <si>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</si>
  <si>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</si>
  <si>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</si>
  <si>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</si>
  <si>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</si>
  <si>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</si>
  <si>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</si>
  <si>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</si>
  <si>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</si>
  <si>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</si>
  <si>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</si>
  <si>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</si>
  <si>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</si>
  <si>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</si>
  <si>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</si>
  <si>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</si>
  <si>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</si>
  <si>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</si>
  <si>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</si>
  <si>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</si>
  <si>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</si>
  <si>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</si>
  <si>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</si>
  <si>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</si>
  <si>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</si>
  <si>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</si>
  <si>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</si>
  <si>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</si>
  <si>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</si>
  <si>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</si>
  <si>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</si>
  <si>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</si>
  <si>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</si>
  <si>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</si>
  <si>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</si>
  <si>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</si>
  <si>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</si>
  <si>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</si>
  <si>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</si>
  <si>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</si>
  <si>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</si>
  <si>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</si>
  <si>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</si>
  <si>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</si>
  <si>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</si>
  <si>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</si>
  <si>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</si>
  <si>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</si>
  <si>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</si>
  <si>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</si>
  <si>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</si>
  <si>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</si>
  <si>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</si>
  <si>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</si>
  <si>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</si>
  <si>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</si>
  <si>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</si>
  <si>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</si>
  <si>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</si>
  <si>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</si>
  <si>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</si>
  <si>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</si>
  <si>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</si>
  <si>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</si>
  <si>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</si>
  <si>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</si>
  <si>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</si>
  <si>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</si>
  <si>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</si>
  <si>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</si>
  <si>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</si>
  <si>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</si>
  <si>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</si>
  <si>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</si>
  <si>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</si>
  <si>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</si>
  <si>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</si>
  <si>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</si>
  <si>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</si>
  <si>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</si>
  <si>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</si>
  <si>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</si>
  <si>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</si>
  <si>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</si>
  <si>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</si>
  <si>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</si>
  <si>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</si>
  <si>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</si>
  <si>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</si>
  <si>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</si>
  <si>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</si>
  <si>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</si>
  <si>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</si>
  <si>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</si>
  <si>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</si>
  <si>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</si>
  <si>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</si>
  <si>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</si>
  <si>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</si>
  <si>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</si>
  <si>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</si>
  <si>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</si>
  <si>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</si>
  <si>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</si>
  <si>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</si>
  <si>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</si>
  <si>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</si>
  <si>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</si>
  <si>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</si>
  <si>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</si>
  <si>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</si>
  <si>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</si>
  <si>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</si>
  <si>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</si>
  <si>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</si>
  <si>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</si>
  <si>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</si>
  <si>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</si>
  <si>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</si>
  <si>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</si>
  <si>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</si>
  <si>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</si>
  <si>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</si>
  <si>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</si>
  <si>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</si>
  <si>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</si>
  <si>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</si>
  <si>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</si>
  <si>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</si>
  <si>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</si>
  <si>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</si>
  <si>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</si>
  <si>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</si>
  <si>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</si>
  <si>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</si>
  <si>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</si>
  <si>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</si>
  <si>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</si>
  <si>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</si>
  <si>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</si>
  <si>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</si>
  <si>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</si>
  <si>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</si>
  <si>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</si>
  <si>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</si>
  <si>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</si>
  <si>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</si>
  <si>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</si>
  <si>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</si>
  <si>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</si>
  <si>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</si>
  <si>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</si>
  <si>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</si>
  <si>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</si>
  <si>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</si>
  <si>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</si>
  <si>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</si>
  <si>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</si>
  <si>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</si>
  <si>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</si>
  <si>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</si>
  <si>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</si>
  <si>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</si>
  <si>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</si>
  <si>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</si>
  <si>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</si>
  <si>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</si>
  <si>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</si>
  <si>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</si>
  <si>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</si>
  <si>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</si>
  <si>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</si>
  <si>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</si>
  <si>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</si>
  <si>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</si>
  <si>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</si>
  <si>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</si>
  <si>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</si>
  <si>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</si>
  <si>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</si>
  <si>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</si>
  <si>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</si>
  <si>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</si>
  <si>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</si>
  <si>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</si>
  <si>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</si>
  <si>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</si>
  <si>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</si>
  <si>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</si>
  <si>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</si>
  <si>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</si>
  <si>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</si>
  <si>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</si>
  <si>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</si>
  <si>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</si>
  <si>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</si>
  <si>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</si>
  <si>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</si>
  <si>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</si>
  <si>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</si>
  <si>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</si>
  <si>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</si>
  <si>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</si>
  <si>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</si>
  <si>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</si>
  <si>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</si>
  <si>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</si>
  <si>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</si>
  <si>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</si>
  <si>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</si>
  <si>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</si>
  <si>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</si>
  <si>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</si>
  <si>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</si>
  <si>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</si>
  <si>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</si>
  <si>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</si>
  <si>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</si>
  <si>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</si>
  <si>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</si>
  <si>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</si>
  <si>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</si>
  <si>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</si>
  <si>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</si>
  <si>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</si>
  <si>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</si>
  <si>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</si>
  <si>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</si>
  <si>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</si>
  <si>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</si>
  <si>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</si>
  <si>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</si>
  <si>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</si>
  <si>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</si>
  <si>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</si>
  <si>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</si>
  <si>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</si>
  <si>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</si>
  <si>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</si>
  <si>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</si>
  <si>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</si>
  <si>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</si>
  <si>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</si>
  <si>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</si>
  <si>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</si>
  <si>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</si>
  <si>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</si>
  <si>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</si>
  <si>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</si>
  <si>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</si>
  <si>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</si>
  <si>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</si>
  <si>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</si>
  <si>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</si>
  <si>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</si>
  <si>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</si>
  <si>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</si>
  <si>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</si>
  <si>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</si>
  <si>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</si>
  <si>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</si>
  <si>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</si>
  <si>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</si>
  <si>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</si>
  <si>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</si>
  <si>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</si>
  <si>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</si>
  <si>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</si>
  <si>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</si>
  <si>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</si>
  <si>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</si>
  <si>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</si>
  <si>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</si>
  <si>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</si>
  <si>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</si>
  <si>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</si>
  <si>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</si>
  <si>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</si>
  <si>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</si>
  <si>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</si>
  <si>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</si>
  <si>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</si>
  <si>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</si>
  <si>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</si>
  <si>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</si>
  <si>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</si>
  <si>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</si>
  <si>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</si>
  <si>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</si>
  <si>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</si>
  <si>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</si>
  <si>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</si>
  <si>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</si>
  <si>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</si>
  <si>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</si>
  <si>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</si>
  <si>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</si>
  <si>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</si>
  <si>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</si>
  <si>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</si>
  <si>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</si>
  <si>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</si>
  <si>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</si>
  <si>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</si>
  <si>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</si>
  <si>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</si>
  <si>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</si>
  <si>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</si>
  <si>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</si>
  <si>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</si>
  <si>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</si>
  <si>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</si>
  <si>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</si>
  <si>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</si>
  <si>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</si>
  <si>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</si>
  <si>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</si>
  <si>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</si>
  <si>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</si>
  <si>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</si>
  <si>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</si>
  <si>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</si>
  <si>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</si>
  <si>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</si>
  <si>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</si>
  <si>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</si>
  <si>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</si>
  <si>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</si>
  <si>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</si>
  <si>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</si>
  <si>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</si>
  <si>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</si>
  <si>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</si>
  <si>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</si>
  <si>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</si>
  <si>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</si>
  <si>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</si>
  <si>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</si>
  <si>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</si>
  <si>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</si>
  <si>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</si>
  <si>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</si>
  <si>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</si>
  <si>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</si>
  <si>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</si>
  <si>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</si>
  <si>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</si>
  <si>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</si>
  <si>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</si>
  <si>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</si>
  <si>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</si>
  <si>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</si>
  <si>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</si>
  <si>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</si>
  <si>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</si>
  <si>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</si>
  <si>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</si>
  <si>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</si>
  <si>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</si>
  <si>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</si>
  <si>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</si>
  <si>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</si>
  <si>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</si>
  <si>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</si>
  <si>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</si>
  <si>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</si>
  <si>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</si>
  <si>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</si>
  <si>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</si>
  <si>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</si>
  <si>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</si>
  <si>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</si>
  <si>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</si>
  <si>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</si>
  <si>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</si>
  <si>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</si>
  <si>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</si>
  <si>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</si>
  <si>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</si>
  <si>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</si>
  <si>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</si>
  <si>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</si>
  <si>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</si>
  <si>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</si>
  <si>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</si>
  <si>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</si>
  <si>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</si>
  <si>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</si>
  <si>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</si>
  <si>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</si>
  <si>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</si>
  <si>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</si>
  <si>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</si>
  <si>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</si>
  <si>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</si>
  <si>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</si>
  <si>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</si>
  <si>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</si>
  <si>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</si>
  <si>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</si>
  <si>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</si>
  <si>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</si>
  <si>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</si>
  <si>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</si>
  <si>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</si>
  <si>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</si>
  <si>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</si>
  <si>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</si>
  <si>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</si>
  <si>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</si>
  <si>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</si>
  <si>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</si>
  <si>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</si>
  <si>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</si>
  <si>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</si>
  <si>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</si>
  <si>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</si>
  <si>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</si>
  <si>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</si>
  <si>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</si>
  <si>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</si>
  <si>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</si>
  <si>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</si>
  <si>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</si>
  <si>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</si>
  <si>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</si>
  <si>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</si>
  <si>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</si>
  <si>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</si>
  <si>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</si>
  <si>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</si>
  <si>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</si>
  <si>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</si>
  <si>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</si>
  <si>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</si>
  <si>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</si>
  <si>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</si>
  <si>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</si>
  <si>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</si>
  <si>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</si>
  <si>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</si>
  <si>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</si>
  <si>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</si>
  <si>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</si>
  <si>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</si>
  <si>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</si>
  <si>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</si>
  <si>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</si>
  <si>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</si>
  <si>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</si>
  <si>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</si>
  <si>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</si>
  <si>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</si>
  <si>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</si>
  <si>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</si>
  <si>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</si>
  <si>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</si>
  <si>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</si>
  <si>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</si>
  <si>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</si>
  <si>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</si>
  <si>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</si>
  <si>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</si>
  <si>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</si>
  <si>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</si>
  <si>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</si>
  <si>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</si>
  <si>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</si>
  <si>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</si>
  <si>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</si>
  <si>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</si>
  <si>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</si>
  <si>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</si>
  <si>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</si>
  <si>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</si>
  <si>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</si>
  <si>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</si>
  <si>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</si>
  <si>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</si>
  <si>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</si>
  <si>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</si>
  <si>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</si>
  <si>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</si>
  <si>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</si>
  <si>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</si>
  <si>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</si>
  <si>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</si>
  <si>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</si>
  <si>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</si>
  <si>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</si>
  <si>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</si>
  <si>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</si>
  <si>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</si>
  <si>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</si>
  <si>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</si>
  <si>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</si>
  <si>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</si>
  <si>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</si>
  <si>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</si>
  <si>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</si>
  <si>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</si>
  <si>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</si>
  <si>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</si>
  <si>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</si>
  <si>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</si>
  <si>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</si>
  <si>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</si>
  <si>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</si>
  <si>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</si>
  <si>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</si>
  <si>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</si>
  <si>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</si>
  <si>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</si>
  <si>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</si>
  <si>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</si>
  <si>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</si>
  <si>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</si>
  <si>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</si>
  <si>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</si>
  <si>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</si>
  <si>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</si>
  <si>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</si>
  <si>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</si>
  <si>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</si>
  <si>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</si>
  <si>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</si>
  <si>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</si>
  <si>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</si>
  <si>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</si>
  <si>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</si>
  <si>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</si>
  <si>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</si>
  <si>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</si>
  <si>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</si>
  <si>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</si>
  <si>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</si>
  <si>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</si>
  <si>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</si>
  <si>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</si>
  <si>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</si>
  <si>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</si>
  <si>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</si>
  <si>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</si>
  <si>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</si>
  <si>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</si>
  <si>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</si>
  <si>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</si>
  <si>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</si>
  <si>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</si>
  <si>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</si>
  <si>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</si>
  <si>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</si>
  <si>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</si>
  <si>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</si>
  <si>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</si>
  <si>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</si>
  <si>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</si>
  <si>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</si>
  <si>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</si>
  <si>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</si>
  <si>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</si>
  <si>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</si>
  <si>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</si>
  <si>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</si>
  <si>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</si>
  <si>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</si>
  <si>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</si>
  <si>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</si>
  <si>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</si>
  <si>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</si>
  <si>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</si>
  <si>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</si>
  <si>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</si>
  <si>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</si>
  <si>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</si>
  <si>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</si>
  <si>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</si>
  <si>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</si>
  <si>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</si>
  <si>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</si>
  <si>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</si>
  <si>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</si>
  <si>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</si>
  <si>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</si>
  <si>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</si>
  <si>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</si>
  <si>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</si>
  <si>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</si>
  <si>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</si>
  <si>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</si>
  <si>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</si>
  <si>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</si>
  <si>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</si>
  <si>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</si>
  <si>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</si>
  <si>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</si>
  <si>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</si>
  <si>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</si>
  <si>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</si>
  <si>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</si>
  <si>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</si>
  <si>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</si>
  <si>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</si>
  <si>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</si>
  <si>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</si>
  <si>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</si>
  <si>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</si>
  <si>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</si>
  <si>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</si>
  <si>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</si>
  <si>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</si>
  <si>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</si>
  <si>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</si>
  <si>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</si>
  <si>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</si>
  <si>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</si>
  <si>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</si>
  <si>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</si>
  <si>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</si>
  <si>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</si>
  <si>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</si>
  <si>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</si>
  <si>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</si>
  <si>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</si>
  <si>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Fecha Informe: 07 mar. 2024</t>
  </si>
  <si>
    <t>Tribunales de Justicia</t>
  </si>
  <si>
    <t>ANDALUCIA</t>
  </si>
  <si>
    <t>Provincias</t>
  </si>
  <si>
    <t>SEVILLA</t>
  </si>
  <si>
    <t>Resumenes por Partidos Judiciales</t>
  </si>
  <si>
    <t>CARMONA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</si>
</sst>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5" fillId="10" borderId="74" xfId="0" applyFont="1" applyFill="1" applyBorder="1" applyAlignment="1">
      <alignment horizontal="center"/>
    </xf>
    <xf numFmtId="0" fontId="16" fillId="0" borderId="0" xfId="0" applyFont="1"/>
    <xf numFmtId="0" fontId="16" fillId="0" borderId="0" xfId="0" applyFont="1" applyAlignment="1">
      <alignment horizontal="left"/>
    </xf>
    <xf numFmtId="0" fontId="16" fillId="0" borderId="62" xfId="0" applyFont="1" applyBorder="1"/>
    <xf numFmtId="0" fontId="16" fillId="0" borderId="62" xfId="0" applyFont="1" applyBorder="1" applyAlignment="1">
      <alignment horizontal="left"/>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23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231</v>
      </c>
    </row>
    <row r="3" spans="1:19" ht="23.25" thickBot="1">
      <c r="A3" s="1179" t="s">
        <v>100</v>
      </c>
      <c r="B3" s="1180"/>
      <c r="C3" s="1180"/>
      <c r="D3" s="1181"/>
      <c r="E3" s="369"/>
      <c r="F3" s="2"/>
      <c r="Q3" s="349">
        <v>1</v>
      </c>
      <c r="R3" s="349">
        <v>3</v>
      </c>
      <c r="S3" t="b">
        <f>AND(Q3&gt;=TrimIni,Q3&lt;=TrimFin)</f>
        <v>0</v>
      </c>
    </row>
    <row r="4" spans="1:19" ht="22.5" customHeight="1" thickBot="1">
      <c r="A4" s="370" t="s">
        <v>906</v>
      </c>
      <c r="B4" s="369"/>
      <c r="C4" s="369"/>
      <c r="D4" s="369"/>
      <c r="E4" s="369"/>
      <c r="F4" s="2"/>
      <c r="Q4" s="349">
        <v>2</v>
      </c>
      <c r="R4" s="349">
        <v>3</v>
      </c>
      <c r="S4" t="b">
        <f>AND(Q4&gt;=TrimIni,Q4&lt;=TrimFin)</f>
        <v>0</v>
      </c>
    </row>
    <row r="5" spans="1:19" ht="15.75" thickBot="1">
      <c r="A5" s="371" t="s">
        <v>37</v>
      </c>
      <c r="B5" s="372">
        <v>2023</v>
      </c>
      <c r="C5" s="373" t="s">
        <v>218</v>
      </c>
      <c r="D5" s="374">
        <v>4</v>
      </c>
      <c r="E5" s="375"/>
      <c r="F5" s="3"/>
      <c r="H5" t="s">
        <v>428</v>
      </c>
      <c r="Q5" s="349">
        <v>3</v>
      </c>
      <c r="R5" s="349">
        <v>2</v>
      </c>
      <c r="S5" t="b">
        <f>AND(Q5&gt;=TrimIni,Q5&lt;=TrimFin)</f>
        <v>0</v>
      </c>
    </row>
    <row r="6" spans="1:19" ht="15">
      <c r="A6" s="376"/>
      <c r="B6" s="375"/>
      <c r="C6" s="373" t="s">
        <v>219</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3.6666666666666665</v>
      </c>
    </row>
    <row r="9" spans="1:19">
      <c r="A9" s="383" t="s">
        <v>907</v>
      </c>
      <c r="B9" s="378" t="s">
        <v>908</v>
      </c>
      <c r="C9" s="375"/>
      <c r="D9" s="375"/>
      <c r="E9" s="384"/>
      <c r="F9" s="3"/>
    </row>
    <row r="10" spans="1:19">
      <c r="A10" s="383" t="s">
        <v>909</v>
      </c>
      <c r="B10" s="375" t="s">
        <v>910</v>
      </c>
      <c r="C10" s="375"/>
      <c r="D10" s="375"/>
      <c r="E10" s="384"/>
      <c r="F10" s="3"/>
      <c r="Q10" s="349">
        <v>0</v>
      </c>
    </row>
    <row r="11" spans="1:19" ht="13.5" thickBot="1">
      <c r="A11" s="385" t="s">
        <v>911</v>
      </c>
      <c r="B11" s="386" t="s">
        <v>912</v>
      </c>
      <c r="C11" s="386"/>
      <c r="D11" s="386"/>
      <c r="E11" s="387"/>
      <c r="F11" s="3"/>
    </row>
    <row r="12" spans="1:19" ht="40.5" customHeight="1" thickBot="1">
      <c r="A12" s="377"/>
      <c r="B12" s="375"/>
      <c r="C12" s="375"/>
      <c r="D12" s="375"/>
      <c r="E12" s="375"/>
      <c r="F12" s="3"/>
      <c r="Q12" s="1108"/>
    </row>
    <row r="13" spans="1:19" ht="15">
      <c r="A13" s="388" t="s">
        <v>124</v>
      </c>
      <c r="B13" s="389" t="s">
        <v>55</v>
      </c>
      <c r="C13" s="793" t="s">
        <v>732</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rEuqVTsheZbttfeizSNoJ1cBujk8eVLQKmrpDnB8ZJiBpKQMzEoKE+6BExi3gpP5yujjZL24l8+oHDrHSBYINQ==" saltValue="NCkAFpk6KQD9ToDyxdmk8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A5" sqref="A5:A6"/>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ANDALUCIA</v>
      </c>
      <c r="C2" s="378"/>
      <c r="D2" s="378"/>
      <c r="E2" s="378"/>
      <c r="F2" s="378"/>
    </row>
    <row r="3" spans="1:14" ht="19.5">
      <c r="A3" s="393" t="s">
        <v>115</v>
      </c>
      <c r="B3" s="394" t="str">
        <f>Criterios!A10 &amp;"  "&amp;Criterios!B10</f>
        <v>Provincias  SEVILLA</v>
      </c>
      <c r="D3" s="378"/>
      <c r="E3" s="378"/>
      <c r="F3" s="378"/>
    </row>
    <row r="4" spans="1:14" ht="13.5" thickBot="1">
      <c r="A4" s="378"/>
      <c r="B4" s="394" t="str">
        <f>Criterios!A11 &amp;"  "&amp;Criterios!B11</f>
        <v>Resumenes por Partidos Judiciales  CARMONA</v>
      </c>
      <c r="C4" s="378"/>
      <c r="D4" s="378"/>
      <c r="E4" s="378"/>
      <c r="F4" s="378"/>
    </row>
    <row r="5" spans="1:14" ht="15.75" customHeight="1">
      <c r="A5" s="1189" t="str">
        <f>"Año:  " &amp;Criterios!B5 &amp; "     Trimestre   " &amp;Criterios!D5 &amp; " al " &amp;Criterios!D6</f>
        <v>Año:  2023     Trimestre   4 al 4</v>
      </c>
      <c r="B5" s="794" t="s">
        <v>116</v>
      </c>
      <c r="C5" s="1191" t="s">
        <v>128</v>
      </c>
      <c r="D5" s="1192"/>
      <c r="E5" s="1191" t="s">
        <v>92</v>
      </c>
      <c r="F5" s="1192"/>
      <c r="G5" s="1191" t="s">
        <v>9</v>
      </c>
      <c r="H5" s="1192"/>
      <c r="I5" s="1191" t="s">
        <v>129</v>
      </c>
      <c r="J5" s="1192"/>
      <c r="K5" s="1198" t="s">
        <v>753</v>
      </c>
      <c r="L5" s="1182" t="s">
        <v>799</v>
      </c>
      <c r="M5" s="1182" t="s">
        <v>869</v>
      </c>
      <c r="N5" s="1185" t="s">
        <v>752</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747</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37</v>
      </c>
      <c r="D10" s="407">
        <f>IF(ISNUMBER(C10/Datos!BH10),C10/Datos!BH10," - ")</f>
        <v>37</v>
      </c>
      <c r="E10" s="406">
        <f>IF(ISNUMBER(Datos!J10),Datos!J10," - ")</f>
        <v>10</v>
      </c>
      <c r="F10" s="407">
        <f>IF(ISNUMBER(E10/B10),E10/B10," - ")</f>
        <v>10</v>
      </c>
      <c r="G10" s="406">
        <f>IF(ISNUMBER(Datos!K10),Datos!K10," - ")</f>
        <v>10</v>
      </c>
      <c r="H10" s="407">
        <f>IF(ISNUMBER(G10/B10),G10/B10," - ")</f>
        <v>10</v>
      </c>
      <c r="I10" s="406">
        <f>IF(ISNUMBER(Datos!L10),Datos!L10," - ")</f>
        <v>37</v>
      </c>
      <c r="J10" s="407">
        <f>IF(ISNUMBER(I10/B10),I10/B10," - ")</f>
        <v>37</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3</v>
      </c>
      <c r="C12" s="406">
        <f>IF(ISNUMBER(IF(J_V="SI",Datos!I12,Datos!I12+Datos!Y12)),IF(J_V="SI",Datos!I12,Datos!I12+Datos!Y12)," - ")</f>
        <v>2748</v>
      </c>
      <c r="D12" s="407">
        <f>IF(ISNUMBER(C12/Datos!BH12),C12/Datos!BH12," - ")</f>
        <v>916</v>
      </c>
      <c r="E12" s="406">
        <f>IF(ISNUMBER(IF(J_V="SI",Datos!J12,Datos!J12+Datos!Z12)),IF(J_V="SI",Datos!J12,Datos!J12+Datos!Z12)," - ")</f>
        <v>793</v>
      </c>
      <c r="F12" s="407">
        <f>IF(ISNUMBER(E12/B12),E12/B12," - ")</f>
        <v>264.33333333333331</v>
      </c>
      <c r="G12" s="406">
        <f>IF(ISNUMBER(IF(J_V="SI",Datos!K12,Datos!K12+Datos!AA12)),IF(J_V="SI",Datos!K12,Datos!K12+Datos!AA12)," - ")</f>
        <v>872</v>
      </c>
      <c r="H12" s="407">
        <f>IF(ISNUMBER(G12/B12),G12/B12," - ")</f>
        <v>290.66666666666669</v>
      </c>
      <c r="I12" s="406">
        <f>IF(ISNUMBER(IF(J_V="SI",Datos!L12,Datos!L12+Datos!AB12)),IF(J_V="SI",Datos!L12,Datos!L12+Datos!AB12)," - ")</f>
        <v>2669</v>
      </c>
      <c r="J12" s="407">
        <f>IF(ISNUMBER(I12/B12),I12/B12," - ")</f>
        <v>889.66666666666663</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3</v>
      </c>
      <c r="C13" s="852">
        <f>SUBTOTAL(9,C8:C12)</f>
        <v>2785</v>
      </c>
      <c r="D13" s="853" t="str">
        <f>IF(ISNUMBER(C13/Datos!BI13),C13/Datos!BI13," - ")</f>
        <v xml:space="preserve"> - </v>
      </c>
      <c r="E13" s="852">
        <f>SUBTOTAL(9,E8:E12)</f>
        <v>803</v>
      </c>
      <c r="F13" s="853">
        <f>IF(ISNUMBER(E13/B13),E13/B13," - ")</f>
        <v>267.66666666666669</v>
      </c>
      <c r="G13" s="852">
        <f>SUBTOTAL(9,G8:G12)</f>
        <v>882</v>
      </c>
      <c r="H13" s="853">
        <f>IF(ISNUMBER(G13/B13),G13/B13," - ")</f>
        <v>294</v>
      </c>
      <c r="I13" s="852">
        <f>SUBTOTAL(9,I8:I12)</f>
        <v>2706</v>
      </c>
      <c r="J13" s="853">
        <f>IF(ISNUMBER(I13/B13),I13/B13," - ")</f>
        <v>902</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3</v>
      </c>
      <c r="C16" s="406">
        <f>IF(ISNUMBER(IF(D_I="SI",Datos!I16,Datos!I16+Datos!AC16)),IF(D_I="SI",Datos!I16,Datos!I16+Datos!AC16)," - ")</f>
        <v>1161</v>
      </c>
      <c r="D16" s="407">
        <f>IF(ISNUMBER(C16/Datos!BH16),C16/Datos!BH16," - ")</f>
        <v>387</v>
      </c>
      <c r="E16" s="406">
        <f>IF(ISNUMBER(IF(D_I="SI",Datos!J16,Datos!J16+Datos!AD16)),IF(D_I="SI",Datos!J16,Datos!J16+Datos!AD16)," - ")</f>
        <v>913</v>
      </c>
      <c r="F16" s="407">
        <f>IF(ISNUMBER(E16/B16),E16/B16," - ")</f>
        <v>304.33333333333331</v>
      </c>
      <c r="G16" s="406">
        <f>IF(ISNUMBER(IF(D_I="SI",Datos!K16,Datos!K16+Datos!AE16)),IF(D_I="SI",Datos!K16,Datos!K16+Datos!AE16)," - ")</f>
        <v>960</v>
      </c>
      <c r="H16" s="407">
        <f>IF(ISNUMBER(G16/B16),G16/B16," - ")</f>
        <v>320</v>
      </c>
      <c r="I16" s="406">
        <f>IF(ISNUMBER(IF(D_I="SI",Datos!L16,Datos!L16+Datos!AF16)),IF(D_I="SI",Datos!L16,Datos!L16+Datos!AF16)," - ")</f>
        <v>1122</v>
      </c>
      <c r="J16" s="407">
        <f>IF(ISNUMBER(I16/B16),I16/B16," - ")</f>
        <v>374</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101</v>
      </c>
      <c r="D17" s="407">
        <f>IF(ISNUMBER(C17/Datos!BH17),C17/Datos!BH17," - ")</f>
        <v>101</v>
      </c>
      <c r="E17" s="406">
        <f>IF(ISNUMBER(IF(D_I="SI",Datos!J17,Datos!J17+Datos!AD17)),IF(D_I="SI",Datos!J17,Datos!J17+Datos!AD17)," - ")</f>
        <v>136</v>
      </c>
      <c r="F17" s="407">
        <f>IF(ISNUMBER(E17/B17),E17/B17," - ")</f>
        <v>136</v>
      </c>
      <c r="G17" s="406">
        <f>IF(ISNUMBER(IF(D_I="SI",Datos!K17,Datos!K17+Datos!AE17)),IF(D_I="SI",Datos!K17,Datos!K17+Datos!AE17)," - ")</f>
        <v>144</v>
      </c>
      <c r="H17" s="407">
        <f>IF(ISNUMBER(G17/B17),G17/B17," - ")</f>
        <v>144</v>
      </c>
      <c r="I17" s="406">
        <f>IF(ISNUMBER(IF(D_I="SI",Datos!L17,Datos!L17+Datos!AF17)),IF(D_I="SI",Datos!L17,Datos!L17+Datos!AF17)," - ")</f>
        <v>93</v>
      </c>
      <c r="J17" s="407">
        <f>IF(ISNUMBER(I17/B17),I17/B17," - ")</f>
        <v>93</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3</v>
      </c>
      <c r="C18" s="852">
        <f>SUBTOTAL(9,C14:C17)</f>
        <v>1262</v>
      </c>
      <c r="D18" s="853" t="str">
        <f>IF(ISNUMBER(C18/Datos!BI18),C18/Datos!BI18," - ")</f>
        <v xml:space="preserve"> - </v>
      </c>
      <c r="E18" s="852">
        <f>SUBTOTAL(9,E14:E17)</f>
        <v>1049</v>
      </c>
      <c r="F18" s="853">
        <f>IF(ISNUMBER(E18/B18),E18/B18," - ")</f>
        <v>349.66666666666669</v>
      </c>
      <c r="G18" s="852">
        <f>SUBTOTAL(9,G14:G17)</f>
        <v>1104</v>
      </c>
      <c r="H18" s="853">
        <f>IF(ISNUMBER(G18/B18),G18/B18," - ")</f>
        <v>368</v>
      </c>
      <c r="I18" s="852">
        <f>SUBTOTAL(9,I14:I17)</f>
        <v>1215</v>
      </c>
      <c r="J18" s="853">
        <f>IF(ISNUMBER(I18/B18),I18/B18," - ")</f>
        <v>405</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3</v>
      </c>
      <c r="C19" s="797">
        <f>SUBTOTAL(9,C9:C18)</f>
        <v>4047</v>
      </c>
      <c r="D19" s="798" t="str">
        <f>IF(ISNUMBER(C19/Datos!BI19),C19/Datos!BI19," - ")</f>
        <v xml:space="preserve"> - </v>
      </c>
      <c r="E19" s="797">
        <f>SUBTOTAL(9,E9:E18)</f>
        <v>1852</v>
      </c>
      <c r="F19" s="798">
        <f>IF(ISNUMBER(E19/B19),E19/B19," - ")</f>
        <v>617.33333333333337</v>
      </c>
      <c r="G19" s="797">
        <f>SUBTOTAL(9,G9:G18)</f>
        <v>1986</v>
      </c>
      <c r="H19" s="798">
        <f>IF(ISNUMBER(G19/B19),G19/B19," - ")</f>
        <v>662</v>
      </c>
      <c r="I19" s="797">
        <f>SUBTOTAL(9,I9:I18)</f>
        <v>3921</v>
      </c>
      <c r="J19" s="798">
        <f>IF(ISNUMBER(I19/B19),I19/B19," - ")</f>
        <v>1307</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07 mar. 2024</v>
      </c>
    </row>
    <row r="27" spans="1:14">
      <c r="A27" s="417"/>
    </row>
  </sheetData>
  <sheetProtection algorithmName="SHA-512" hashValue="A0qa/oa9Lt85zIoWj7RUiNummarCAkKADzgKdEZlf2ItiDkhqTEyUs1E1bOSb9vkzuXDxyvVLFylqkW0jJ2bbA==" saltValue="Nvybp3ki/ntFCbklTxss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ANDALUCIA</v>
      </c>
      <c r="C2" s="378"/>
      <c r="E2" s="378"/>
      <c r="F2" s="378"/>
      <c r="G2" s="378"/>
      <c r="H2" s="378"/>
    </row>
    <row r="3" spans="1:15" ht="39">
      <c r="A3" s="418" t="s">
        <v>221</v>
      </c>
      <c r="B3" s="394" t="str">
        <f>Criterios!A10 &amp;"  "&amp;Criterios!B10</f>
        <v>Provincias  SEVILLA</v>
      </c>
      <c r="C3" s="418"/>
      <c r="F3" s="378"/>
      <c r="G3" s="378"/>
      <c r="H3" s="378"/>
    </row>
    <row r="4" spans="1:15" ht="13.5" thickBot="1">
      <c r="A4" s="378"/>
      <c r="B4" s="394" t="str">
        <f>Criterios!A11 &amp;"  "&amp;Criterios!B11</f>
        <v>Resumenes por Partidos Judiciales  CARMONA</v>
      </c>
      <c r="C4" s="378"/>
      <c r="E4" s="378"/>
      <c r="F4" s="378"/>
      <c r="G4" s="378"/>
      <c r="H4" s="378"/>
    </row>
    <row r="5" spans="1:15" ht="15.75" customHeight="1">
      <c r="A5" s="1201" t="str">
        <f>"Año:  " &amp;Criterios!B5</f>
        <v>Año:  2023</v>
      </c>
      <c r="B5" s="1191" t="s">
        <v>208</v>
      </c>
      <c r="C5" s="1204"/>
      <c r="D5" s="1191" t="s">
        <v>225</v>
      </c>
      <c r="E5" s="1209"/>
      <c r="F5" s="1204"/>
      <c r="G5" s="1191" t="s">
        <v>210</v>
      </c>
      <c r="H5" s="1192"/>
      <c r="I5" s="1191" t="s">
        <v>211</v>
      </c>
      <c r="J5" s="1192"/>
      <c r="K5" s="1191" t="s">
        <v>212</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209</v>
      </c>
      <c r="D7" s="419" t="s">
        <v>107</v>
      </c>
      <c r="E7" s="419" t="s">
        <v>209</v>
      </c>
      <c r="F7" s="398" t="s">
        <v>6</v>
      </c>
      <c r="G7" s="419" t="s">
        <v>107</v>
      </c>
      <c r="H7" s="419" t="s">
        <v>213</v>
      </c>
      <c r="I7" s="419" t="s">
        <v>107</v>
      </c>
      <c r="J7" s="419" t="s">
        <v>213</v>
      </c>
      <c r="K7" s="419" t="s">
        <v>107</v>
      </c>
      <c r="L7" s="420" t="s">
        <v>213</v>
      </c>
      <c r="M7" s="420" t="s">
        <v>222</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3</v>
      </c>
      <c r="D12" s="406">
        <f>Datos!BK12</f>
        <v>0</v>
      </c>
      <c r="E12" s="406">
        <f>Datos!AQ12</f>
        <v>3</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3</v>
      </c>
      <c r="D16" s="406">
        <f>Datos!BK16</f>
        <v>0</v>
      </c>
      <c r="E16" s="406">
        <f>Datos!AQ16</f>
        <v>3</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07 mar. 2024</v>
      </c>
      <c r="B23" s="394"/>
      <c r="C23" s="394"/>
    </row>
    <row r="27" spans="1:13">
      <c r="A27" s="417"/>
      <c r="B27" s="417"/>
      <c r="C27" s="417"/>
    </row>
  </sheetData>
  <sheetProtection algorithmName="SHA-512" hashValue="qloDmGtd/t+IcLjONpKNPZ96ep+YKxLEt/07UXs3upE6OGe3U1G8+U1cXir4LQbNnSWTQk27WzaSk+FNgddlEg==" saltValue="6apFwshZ0CteD7O2g3ZQO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ANDALUCIA</v>
      </c>
      <c r="C2" s="394"/>
    </row>
    <row r="3" spans="1:9" ht="19.5">
      <c r="A3" s="428" t="s">
        <v>11</v>
      </c>
      <c r="B3" s="394" t="str">
        <f>Criterios!A10 &amp;"  "&amp;Criterios!B10</f>
        <v>Provincias  SEVILLA</v>
      </c>
      <c r="C3" s="394"/>
      <c r="D3" s="428"/>
    </row>
    <row r="4" spans="1:9" ht="13.5" thickBot="1">
      <c r="B4" s="394" t="str">
        <f>Criterios!A11 &amp;"  "&amp;Criterios!B11</f>
        <v>Resumenes por Partidos Judiciales  CARMONA</v>
      </c>
    </row>
    <row r="5" spans="1:9" ht="15.75" customHeight="1">
      <c r="A5" s="1201" t="str">
        <f>"Año:  " &amp;Criterios!B5 &amp; "                  Trimestre   " &amp;Criterios!D5 &amp; " al " &amp;Criterios!D6</f>
        <v>Año:  2023                  Trimestre   4 al 4</v>
      </c>
      <c r="B5" s="1213" t="s">
        <v>116</v>
      </c>
      <c r="C5" s="1213" t="s">
        <v>123</v>
      </c>
      <c r="D5" s="1191" t="s">
        <v>86</v>
      </c>
      <c r="E5" s="1192"/>
      <c r="F5" s="1191" t="s">
        <v>87</v>
      </c>
      <c r="G5" s="1196"/>
      <c r="H5" s="1191" t="s">
        <v>235</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236</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7</v>
      </c>
      <c r="E10" s="407">
        <f>IF(ISNUMBER(D10/B10),D10/B10," - ")</f>
        <v>7</v>
      </c>
      <c r="F10" s="406">
        <f>IF(ISNUMBER(Datos!N10),Datos!N10," - ")</f>
        <v>1</v>
      </c>
      <c r="G10" s="407">
        <f>IF(ISNUMBER(F10/B10),F10/B10," - ")</f>
        <v>1</v>
      </c>
      <c r="H10" s="406">
        <f>IF(ISNUMBER(Datos!O10),Datos!O10," - ")</f>
        <v>1</v>
      </c>
      <c r="I10" s="407">
        <f t="shared" ref="I10:I12" si="2">IF(ISNUMBER(H10/B10),H10/B10," - ")</f>
        <v>1</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3</v>
      </c>
      <c r="C12" s="413">
        <f>Datos!AQ12</f>
        <v>3</v>
      </c>
      <c r="D12" s="406">
        <f>IF(ISNUMBER(Datos!M12),Datos!M12," - ")</f>
        <v>213</v>
      </c>
      <c r="E12" s="407">
        <f t="shared" si="0"/>
        <v>71</v>
      </c>
      <c r="F12" s="406">
        <f>IF(ISNUMBER(Datos!N12),Datos!N12," - ")</f>
        <v>310</v>
      </c>
      <c r="G12" s="407">
        <f t="shared" si="1"/>
        <v>103.33333333333333</v>
      </c>
      <c r="H12" s="406">
        <f>IF(ISNUMBER(Datos!O12),Datos!O12," - ")</f>
        <v>351</v>
      </c>
      <c r="I12" s="407">
        <f t="shared" si="2"/>
        <v>117</v>
      </c>
    </row>
    <row r="13" spans="1:9" ht="14.25" thickTop="1" thickBot="1">
      <c r="A13" s="851" t="str">
        <f>Datos!A13</f>
        <v>TOTAL</v>
      </c>
      <c r="B13" s="852">
        <f>Datos!AO13</f>
        <v>4</v>
      </c>
      <c r="C13" s="854">
        <f>Datos!AR13</f>
        <v>3</v>
      </c>
      <c r="D13" s="852">
        <f>SUBTOTAL(9,D9:D12)</f>
        <v>220</v>
      </c>
      <c r="E13" s="853">
        <f t="shared" si="0"/>
        <v>55</v>
      </c>
      <c r="F13" s="852">
        <f>SUBTOTAL(9,F9:F12)</f>
        <v>311</v>
      </c>
      <c r="G13" s="853">
        <f t="shared" si="1"/>
        <v>77.75</v>
      </c>
      <c r="H13" s="852">
        <f>SUBTOTAL(9,H9:H12)</f>
        <v>352</v>
      </c>
      <c r="I13" s="853">
        <f>IF(ISNUMBER(H13/B13),H13/B13," - ")</f>
        <v>88</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3</v>
      </c>
      <c r="C16" s="431">
        <f>Datos!AQ16</f>
        <v>3</v>
      </c>
      <c r="D16" s="406">
        <f>IF(ISNUMBER(Datos!M16),Datos!M16," - ")</f>
        <v>92</v>
      </c>
      <c r="E16" s="407">
        <f t="shared" si="3"/>
        <v>30.666666666666668</v>
      </c>
      <c r="F16" s="406">
        <f>IF(ISNUMBER(Datos!N16),Datos!N16," - ")</f>
        <v>657</v>
      </c>
      <c r="G16" s="407">
        <f t="shared" si="4"/>
        <v>219</v>
      </c>
      <c r="H16" s="406">
        <f>IF(ISNUMBER(Datos!O16),Datos!O16," - ")</f>
        <v>0</v>
      </c>
      <c r="I16" s="407">
        <f t="shared" si="5"/>
        <v>0</v>
      </c>
    </row>
    <row r="17" spans="1:9" ht="13.5" thickBot="1">
      <c r="A17" s="405" t="str">
        <f>Datos!A17</f>
        <v>Jdos. Violencia contra la mujer</v>
      </c>
      <c r="B17" s="430">
        <f>Datos!AO17</f>
        <v>1</v>
      </c>
      <c r="C17" s="431">
        <f>Datos!AQ17</f>
        <v>0</v>
      </c>
      <c r="D17" s="406">
        <f>IF(ISNUMBER(Datos!M17),Datos!M17," - ")</f>
        <v>19</v>
      </c>
      <c r="E17" s="407">
        <f>IF(ISNUMBER(D17/B17),D17/B17," - ")</f>
        <v>19</v>
      </c>
      <c r="F17" s="406">
        <f>IF(ISNUMBER(Datos!N17),Datos!N17," - ")</f>
        <v>88</v>
      </c>
      <c r="G17" s="407">
        <f>IF(ISNUMBER(F17/B17),F17/B17," - ")</f>
        <v>88</v>
      </c>
      <c r="H17" s="406">
        <f>IF(ISNUMBER(Datos!O17),Datos!O17," - ")</f>
        <v>0</v>
      </c>
      <c r="I17" s="407">
        <f t="shared" si="5"/>
        <v>0</v>
      </c>
    </row>
    <row r="18" spans="1:9" ht="14.25" thickTop="1" thickBot="1">
      <c r="A18" s="851" t="str">
        <f>Datos!A18</f>
        <v>TOTAL</v>
      </c>
      <c r="B18" s="852">
        <f>Datos!AO18</f>
        <v>4</v>
      </c>
      <c r="C18" s="854">
        <f>Datos!AR18</f>
        <v>3</v>
      </c>
      <c r="D18" s="852">
        <f>SUBTOTAL(9,D15:D17)</f>
        <v>111</v>
      </c>
      <c r="E18" s="853">
        <f t="shared" si="3"/>
        <v>27.75</v>
      </c>
      <c r="F18" s="852">
        <f>SUBTOTAL(9,F15:F17)</f>
        <v>745</v>
      </c>
      <c r="G18" s="853">
        <f t="shared" si="4"/>
        <v>186.25</v>
      </c>
      <c r="H18" s="852">
        <f>SUBTOTAL(9,H15:H17)</f>
        <v>0</v>
      </c>
      <c r="I18" s="853">
        <f>IF(ISNUMBER(H18/B18),H18/B18," - ")</f>
        <v>0</v>
      </c>
    </row>
    <row r="19" spans="1:9" ht="14.25" thickTop="1" thickBot="1">
      <c r="A19" s="796" t="str">
        <f>Datos!A19</f>
        <v>TOTAL JURISDICCIONES</v>
      </c>
      <c r="B19" s="797">
        <f>Datos!AP19</f>
        <v>3</v>
      </c>
      <c r="C19" s="797">
        <f>Datos!AR19</f>
        <v>3</v>
      </c>
      <c r="D19" s="797">
        <f>SUBTOTAL(9,D8:D18)</f>
        <v>331</v>
      </c>
      <c r="E19" s="798">
        <f>IF(ISNUMBER(D19/B19),D19/B19," - ")</f>
        <v>110.33333333333333</v>
      </c>
      <c r="F19" s="797">
        <f>SUBTOTAL(9,F8:F18)</f>
        <v>1056</v>
      </c>
      <c r="G19" s="798">
        <f>IF(ISNUMBER(F19/B19),F19/B19," - ")</f>
        <v>352</v>
      </c>
      <c r="H19" s="797">
        <f>SUBTOTAL(9,H8:H18)</f>
        <v>352</v>
      </c>
      <c r="I19" s="798">
        <f>IF(ISNUMBER(H19/B19),H19/B19," - ")</f>
        <v>117.33333333333333</v>
      </c>
    </row>
    <row r="22" spans="1:9">
      <c r="A22" s="394" t="str">
        <f>Criterios!A4</f>
        <v>Fecha Informe: 07 mar. 2024</v>
      </c>
    </row>
    <row r="27" spans="1:9">
      <c r="A27" s="417"/>
    </row>
  </sheetData>
  <sheetProtection algorithmName="SHA-512" hashValue="MzcAbuqQERVKBofTOXrc6E9+A5cIY81uMMKLVQ7SLnqLm7j7It6AOD+wdVCak5Iagqdu+HduC0bSypDmDY+w2Q==" saltValue="fFY5JZncPZaAuTuR4Y9+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ANDALUCIA</v>
      </c>
    </row>
    <row r="3" spans="1:4" ht="19.5">
      <c r="A3" s="432" t="s">
        <v>32</v>
      </c>
      <c r="B3" s="394" t="str">
        <f>Criterios!A10 &amp;"  "&amp;Criterios!B10</f>
        <v>Provincias  SEVILLA</v>
      </c>
    </row>
    <row r="4" spans="1:4" ht="13.5" thickBot="1">
      <c r="B4" s="394" t="str">
        <f>Criterios!A11 &amp;"  "&amp;Criterios!B11</f>
        <v>Resumenes por Partidos Judiciales  CARMONA</v>
      </c>
    </row>
    <row r="5" spans="1:4" ht="12.75" customHeight="1">
      <c r="A5" s="1201" t="str">
        <f>"Año:  " &amp;Criterios!B5 &amp; "                  Trimestre   " &amp;Criterios!D5 &amp; " al " &amp;Criterios!D6</f>
        <v>Año:  2023                  Trimestre   4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0</v>
      </c>
      <c r="C10" s="437">
        <f>IF(ISNUMBER(Datos!Q10),Datos!Q10," - ")</f>
        <v>0</v>
      </c>
      <c r="D10" s="411">
        <f>IF(ISNUMBER(Datos!R10),Datos!R10," - ")</f>
        <v>6</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220</v>
      </c>
      <c r="C12" s="437">
        <f>IF(ISNUMBER(Datos!Q12),Datos!Q12," - ")</f>
        <v>253</v>
      </c>
      <c r="D12" s="411">
        <f>IF(ISNUMBER(Datos!R12),Datos!R12," - ")</f>
        <v>2914</v>
      </c>
    </row>
    <row r="13" spans="1:4" ht="14.25" thickTop="1" thickBot="1">
      <c r="A13" s="851" t="str">
        <f>Datos!A13</f>
        <v>TOTAL</v>
      </c>
      <c r="B13" s="852">
        <f>SUBTOTAL(9,B9:B12)</f>
        <v>220</v>
      </c>
      <c r="C13" s="856">
        <f>SUBTOTAL(9,C9:C12)</f>
        <v>253</v>
      </c>
      <c r="D13" s="854">
        <f>SUBTOTAL(9,D9:D12)</f>
        <v>2920</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42</v>
      </c>
      <c r="C16" s="437">
        <f>IF(ISNUMBER(Datos!Q16),Datos!Q16," - ")</f>
        <v>26</v>
      </c>
      <c r="D16" s="411">
        <f>IF(ISNUMBER(Datos!R16),Datos!R16," - ")</f>
        <v>97</v>
      </c>
    </row>
    <row r="17" spans="1:4" ht="13.5" thickBot="1">
      <c r="A17" s="405" t="str">
        <f>Datos!A17</f>
        <v>Jdos. Violencia contra la mujer</v>
      </c>
      <c r="B17" s="436">
        <f>IF(ISNUMBER(Datos!P17),Datos!P17," - ")</f>
        <v>4</v>
      </c>
      <c r="C17" s="437">
        <f>IF(ISNUMBER(Datos!Q17),Datos!Q17," - ")</f>
        <v>6</v>
      </c>
      <c r="D17" s="411">
        <f>IF(ISNUMBER(Datos!R17),Datos!R17," - ")</f>
        <v>4</v>
      </c>
    </row>
    <row r="18" spans="1:4" ht="14.25" thickTop="1" thickBot="1">
      <c r="A18" s="851" t="str">
        <f>Datos!A18</f>
        <v>TOTAL</v>
      </c>
      <c r="B18" s="852">
        <f>SUBTOTAL(9,B15:B17)</f>
        <v>46</v>
      </c>
      <c r="C18" s="856">
        <f>SUBTOTAL(9,C15:C17)</f>
        <v>32</v>
      </c>
      <c r="D18" s="854">
        <f>SUBTOTAL(9,D15:D17)</f>
        <v>101</v>
      </c>
    </row>
    <row r="19" spans="1:4" ht="16.5" customHeight="1" thickTop="1" thickBot="1">
      <c r="A19" s="796" t="str">
        <f>Datos!A19</f>
        <v>TOTAL JURISDICCIONES</v>
      </c>
      <c r="B19" s="801">
        <f>SUBTOTAL(9,B8:B18)</f>
        <v>266</v>
      </c>
      <c r="C19" s="802">
        <f>SUBTOTAL(9,C8:C18)</f>
        <v>285</v>
      </c>
      <c r="D19" s="803">
        <f>SUBTOTAL(9,D8:D18)</f>
        <v>3021</v>
      </c>
    </row>
    <row r="20" spans="1:4" ht="7.5" customHeight="1"/>
    <row r="21" spans="1:4" ht="6" customHeight="1"/>
    <row r="22" spans="1:4">
      <c r="A22" s="394" t="str">
        <f>Criterios!A4</f>
        <v>Fecha Informe: 07 mar. 2024</v>
      </c>
    </row>
    <row r="27" spans="1:4">
      <c r="A27" s="417"/>
    </row>
  </sheetData>
  <sheetProtection algorithmName="SHA-512" hashValue="/nG/n15tJc5JSx0nba7L7XwYdlJ8rB7yRhymQ9yXNRrYTuSH8oJHMRVf/+/Tikjuqvjy3tTipfoaDnn4neMUXQ==" saltValue="q3ZmWA9Pas1bQsloeXoU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ANDALUCIA</v>
      </c>
    </row>
    <row r="3" spans="1:11" ht="18.75" customHeight="1">
      <c r="A3" s="432" t="s">
        <v>118</v>
      </c>
      <c r="B3" s="394" t="str">
        <f>Criterios!A10 &amp;"  "&amp;Criterios!B10</f>
        <v>Provincias  SEVILLA</v>
      </c>
    </row>
    <row r="4" spans="1:11" ht="10.5" customHeight="1" thickBot="1">
      <c r="B4" s="394" t="str">
        <f>Criterios!A11 &amp;"  "&amp;Criterios!B11</f>
        <v>Resumenes por Partidos Judiciales  CARMONA</v>
      </c>
    </row>
    <row r="5" spans="1:11" ht="12.75" customHeight="1">
      <c r="A5" s="1201" t="str">
        <f>"Año:  " &amp;Criterios!B5 &amp; "    Trimestre   " &amp;Criterios!D5 &amp; " al " &amp;Criterios!D6</f>
        <v>Año:  2023    Trimestre   4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f>IF(ISNUMBER((Datos!I10-Datos!S10)/Datos!S10),(Datos!I10-Datos!S10)/Datos!S10," - ")</f>
        <v>0.68181818181818177</v>
      </c>
      <c r="C10" s="459">
        <f>IF(ISNUMBER((Datos!J10-Datos!T10)/Datos!T10),(Datos!J10-Datos!T10)/Datos!T10," - ")</f>
        <v>-0.23076923076923078</v>
      </c>
      <c r="D10" s="459">
        <f>IF(ISNUMBER((Datos!K10-Datos!U10)/Datos!U10),(Datos!K10-Datos!U10)/Datos!U10," - ")</f>
        <v>0</v>
      </c>
      <c r="E10" s="459">
        <f>IF(ISNUMBER((Datos!L10-Datos!V10)/Datos!V10),(Datos!L10-Datos!V10)/Datos!V10," - ")</f>
        <v>0.48</v>
      </c>
      <c r="F10" s="459">
        <f>IF(ISNUMBER((Datos!M10-Datos!W10)/Datos!W10),(Datos!M10-Datos!W10)/Datos!W10," - ")</f>
        <v>0.4</v>
      </c>
      <c r="G10" s="460">
        <f>IF(ISNUMBER((Datos!N10-Datos!X10)/Datos!X10),(Datos!N10-Datos!X10)/Datos!X10," - ")</f>
        <v>-0.5</v>
      </c>
      <c r="H10" s="458">
        <f>IF(ISNUMBER(((NºAsuntos!G10/NºAsuntos!E10)-Datos!BD10)/Datos!BD10),((NºAsuntos!G10/NºAsuntos!E10)-Datos!BD10)/Datos!BD10," - ")</f>
        <v>0.29999999999999993</v>
      </c>
      <c r="I10" s="459">
        <f>IF(ISNUMBER(((NºAsuntos!I10/NºAsuntos!G10)-Datos!BE10)/Datos!BE10),((NºAsuntos!I10/NºAsuntos!G10)-Datos!BE10)/Datos!BE10," - ")</f>
        <v>0.48000000000000009</v>
      </c>
      <c r="J10" s="464">
        <f>IF(ISNUMBER((('Resol  Asuntos'!D10/NºAsuntos!G10)-Datos!BF10)/Datos!BF10),(('Resol  Asuntos'!D10/NºAsuntos!G10)-Datos!BF10)/Datos!BF10," - ")</f>
        <v>0.39999999999999991</v>
      </c>
      <c r="K10" s="465">
        <f>IF(ISNUMBER((((NºAsuntos!C10+NºAsuntos!E10)/NºAsuntos!G10)-Datos!BG10)/Datos!BG10),(((NºAsuntos!C10+NºAsuntos!E10)/NºAsuntos!G10)-Datos!BG10)/Datos!BG10," - ")</f>
        <v>0.34285714285714292</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2.0423319717786857E-2</v>
      </c>
      <c r="C12" s="459">
        <f>IF(ISNUMBER(
   IF(J_V="SI",(Datos!J12-Datos!T12)/Datos!T12,(Datos!J12+Datos!Z12-(Datos!T12+Datos!AH12))/(Datos!T12+Datos!AH12))
     ),IF(J_V="SI",(Datos!J12-Datos!T12)/Datos!T12,(Datos!J12+Datos!Z12-(Datos!T12+Datos!AH12))/(Datos!T12+Datos!AH12))," - ")</f>
        <v>-5.5952380952380955E-2</v>
      </c>
      <c r="D12" s="459">
        <f>IF(ISNUMBER(
   IF(J_V="SI",(Datos!K12-Datos!U12)/Datos!U12,(Datos!K12+Datos!AA12-(Datos!U12+Datos!AI12))/(Datos!U12+Datos!AI12))
     ),IF(J_V="SI",(Datos!K12-Datos!U12)/Datos!U12,(Datos!K12+Datos!AA12-(Datos!U12+Datos!AI12))/(Datos!U12+Datos!AI12))," - ")</f>
        <v>-5.8315334773218146E-2</v>
      </c>
      <c r="E12" s="459">
        <f>IF(ISNUMBER(
   IF(J_V="SI",(Datos!L12-Datos!V12)/Datos!V12,(Datos!L12+Datos!AB12-(Datos!V12+Datos!AJ12))/(Datos!V12+Datos!AJ12))
     ),IF(J_V="SI",(Datos!L12-Datos!V12)/Datos!V12,(Datos!L12+Datos!AB12-(Datos!V12+Datos!AJ12))/(Datos!V12+Datos!AJ12))," - ")</f>
        <v>4.707728520988623E-2</v>
      </c>
      <c r="F12" s="459">
        <f>IF(ISNUMBER((Datos!M12-Datos!W12)/Datos!W12),(Datos!M12-Datos!W12)/Datos!W12," - ")</f>
        <v>0.25294117647058822</v>
      </c>
      <c r="G12" s="460">
        <f>IF(ISNUMBER((Datos!N12-Datos!X12)/Datos!X12),(Datos!N12-Datos!X12)/Datos!X12," - ")</f>
        <v>-0.20918367346938777</v>
      </c>
      <c r="H12" s="458">
        <f>IF(ISNUMBER(((NºAsuntos!G12/NºAsuntos!E12)-Datos!BD12)/Datos!BD12),((NºAsuntos!G12/NºAsuntos!E12)-Datos!BD12)/Datos!BD12," - ")</f>
        <v>-2.5030027862589571E-3</v>
      </c>
      <c r="I12" s="459">
        <f>IF(ISNUMBER(((NºAsuntos!I12/NºAsuntos!G12)-Datos!BE12)/Datos!BE12),((NºAsuntos!I12/NºAsuntos!G12)-Datos!BE12)/Datos!BE12," - ")</f>
        <v>0.11191922718389308</v>
      </c>
      <c r="J12" s="464">
        <f>IF(ISNUMBER((('Resol  Asuntos'!D12/NºAsuntos!G12)-Datos!BF12)/Datos!BF12),(('Resol  Asuntos'!D12/NºAsuntos!G12)-Datos!BF12)/Datos!BF12," - ")</f>
        <v>-0.42298375772327279</v>
      </c>
      <c r="K12" s="465">
        <f>IF(ISNUMBER((((NºAsuntos!C12+NºAsuntos!E12)/NºAsuntos!G12)-Datos!BG12)/Datos!BG12),(((NºAsuntos!C12+NºAsuntos!E12)/NºAsuntos!G12)-Datos!BG12)/Datos!BG12," - ")</f>
        <v>6.4331194478274387E-2</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2.5782688766114181E-2</v>
      </c>
      <c r="C13" s="858">
        <f>IF(ISNUMBER(
   IF(J_V="SI",(Datos!J13-Datos!T13)/Datos!T13,(Datos!J13+Datos!Z13-(Datos!T13+Datos!AH13))/(Datos!T13+Datos!AH13))
     ),IF(J_V="SI",(Datos!J13-Datos!T13)/Datos!T13,(Datos!J13+Datos!Z13-(Datos!T13+Datos!AH13))/(Datos!T13+Datos!AH13))," - ")</f>
        <v>-5.8616647127784291E-2</v>
      </c>
      <c r="D13" s="858">
        <f>IF(ISNUMBER(
   IF(J_V="SI",(Datos!K13-Datos!U13)/Datos!U13,(Datos!K13+Datos!AA13-(Datos!U13+Datos!AI13))/(Datos!U13+Datos!AI13))
     ),IF(J_V="SI",(Datos!K13-Datos!U13)/Datos!U13,(Datos!K13+Datos!AA13-(Datos!U13+Datos!AI13))/(Datos!U13+Datos!AI13))," - ")</f>
        <v>-5.7692307692307696E-2</v>
      </c>
      <c r="E13" s="858">
        <f>IF(ISNUMBER(
   IF(J_V="SI",(Datos!L13-Datos!V13)/Datos!V13,(Datos!L13+Datos!AB13-(Datos!V13+Datos!AJ13))/(Datos!V13+Datos!AJ13))
     ),IF(J_V="SI",(Datos!L13-Datos!V13)/Datos!V13,(Datos!L13+Datos!AB13-(Datos!V13+Datos!AJ13))/(Datos!V13+Datos!AJ13))," - ")</f>
        <v>5.128205128205128E-2</v>
      </c>
      <c r="F13" s="859">
        <f>IF(ISNUMBER((Datos!M13-Datos!W13)/Datos!W13),(Datos!M13-Datos!W13)/Datos!W13," - ")</f>
        <v>0.25714285714285712</v>
      </c>
      <c r="G13" s="860">
        <f>IF(ISNUMBER((Datos!N13-Datos!X13)/Datos!X13),(Datos!N13-Datos!X13)/Datos!X13," - ")</f>
        <v>-0.21065989847715735</v>
      </c>
      <c r="H13" s="860">
        <f>IF(ISNUMBER(((NºAsuntos!G13/NºAsuntos!E13)-Datos!BD13)/Datos!BD13),((NºAsuntos!G13/NºAsuntos!E13)-Datos!BD13)/Datos!BD13," - ")</f>
        <v>9.8189481751127621E-4</v>
      </c>
      <c r="I13" s="860">
        <f>IF(ISNUMBER(((NºAsuntos!I13/NºAsuntos!G13)-Datos!BE13)/Datos!BE13),((NºAsuntos!I13/NºAsuntos!G13)-Datos!BE13)/Datos!BE13," - ")</f>
        <v>0.11564625850340139</v>
      </c>
      <c r="J13" s="860">
        <f>IF(ISNUMBER((('Resol  Asuntos'!D13/NºAsuntos!G13)-Datos!BF13)/Datos!BF13),(('Resol  Asuntos'!D13/NºAsuntos!G13)-Datos!BF13)/Datos!BF13," - ")</f>
        <v>-0.41191589986120392</v>
      </c>
      <c r="K13" s="860">
        <f>IF(ISNUMBER((((NºAsuntos!C13+NºAsuntos!E13)/NºAsuntos!G13)-Datos!BG13)/Datos!BG13),(((NºAsuntos!C13+NºAsuntos!E13)/NºAsuntos!G13)-Datos!BG13)/Datos!BG13," - ")</f>
        <v>6.7173057563832669E-2</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6.9060773480662987E-2</v>
      </c>
      <c r="C16" s="459">
        <f>IF(ISNUMBER(
   IF(D_I="SI",(Datos!J16-Datos!T16)/Datos!T16,(Datos!J16+Datos!AD16-(Datos!T16+Datos!AL16))/(Datos!T16+Datos!AL16))
     ),IF(D_I="SI",(Datos!J16-Datos!T16)/Datos!T16,(Datos!J16+Datos!AD16-(Datos!T16+Datos!AL16))/(Datos!T16+Datos!AL16))," - ")</f>
        <v>9.8676293622142003E-2</v>
      </c>
      <c r="D16" s="459">
        <f>IF(ISNUMBER(
   IF(D_I="SI",(Datos!K16-Datos!U16)/Datos!U16,(Datos!K16+Datos!AE16-(Datos!U16+Datos!AM16))/(Datos!U16+Datos!AM16))
     ),IF(D_I="SI",(Datos!K16-Datos!U16)/Datos!U16,(Datos!K16+Datos!AE16-(Datos!U16+Datos!AM16))/(Datos!U16+Datos!AM16))," - ")</f>
        <v>0.21059268600252207</v>
      </c>
      <c r="E16" s="459">
        <f>IF(ISNUMBER(
   IF(D_I="SI",(Datos!L16-Datos!V16)/Datos!V16,(Datos!L16+Datos!AF16-(Datos!V16+Datos!AN16))/(Datos!V16+Datos!AN16))
     ),IF(D_I="SI",(Datos!L16-Datos!V16)/Datos!V16,(Datos!L16+Datos!AF16-(Datos!V16+Datos!AN16))/(Datos!V16+Datos!AN16))," - ")</f>
        <v>-1.7793594306049821E-3</v>
      </c>
      <c r="F16" s="459">
        <f>IF(ISNUMBER((Datos!M16-Datos!W16)/Datos!W16),(Datos!M16-Datos!W16)/Datos!W16," - ")</f>
        <v>6.9767441860465115E-2</v>
      </c>
      <c r="G16" s="460">
        <f>IF(ISNUMBER((Datos!N16-Datos!X16)/Datos!X16),(Datos!N16-Datos!X16)/Datos!X16," - ")</f>
        <v>0.23496240601503759</v>
      </c>
      <c r="H16" s="458">
        <f>IF(ISNUMBER(((NºAsuntos!G16/NºAsuntos!E16)-Datos!BD16)/Datos!BD16),((NºAsuntos!G16/NºAsuntos!E16)-Datos!BD16)/Datos!BD16," - ")</f>
        <v>0.10186475582485859</v>
      </c>
      <c r="I16" s="459">
        <f>IF(ISNUMBER(((NºAsuntos!I16/NºAsuntos!G16)-Datos!BE16)/Datos!BE16),((NºAsuntos!I16/NºAsuntos!G16)-Datos!BE16)/Datos!BE16," - ")</f>
        <v>-0.17542815836298936</v>
      </c>
      <c r="J16" s="464">
        <f>IF(ISNUMBER((('Resol  Asuntos'!D16/NºAsuntos!G16)-Datos!BF16)/Datos!BF16),(('Resol  Asuntos'!D16/NºAsuntos!G16)-Datos!BF16)/Datos!BF16," - ")</f>
        <v>-0.11632751937984494</v>
      </c>
      <c r="K16" s="465">
        <f>IF(ISNUMBER((((NºAsuntos!C16+NºAsuntos!E16)/NºAsuntos!G16)-Datos!BG16)/Datos!BG16),(((NºAsuntos!C16+NºAsuntos!E16)/NºAsuntos!G16)-Datos!BG16)/Datos!BG16," - ")</f>
        <v>-0.10630651191097192</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0.65573770491803274</v>
      </c>
      <c r="C17" s="459">
        <f>IF(ISNUMBER(
   IF(D_I="SI",(Datos!J17-Datos!T17)/Datos!T17,(Datos!J17+Datos!AD17-(Datos!T17+Datos!AL17))/(Datos!T17+Datos!AL17))
     ),IF(D_I="SI",(Datos!J17-Datos!T17)/Datos!T17,(Datos!J17+Datos!AD17-(Datos!T17+Datos!AL17))/(Datos!T17+Datos!AL17))," - ")</f>
        <v>0.58139534883720934</v>
      </c>
      <c r="D17" s="459">
        <f>IF(ISNUMBER(
   IF(D_I="SI",(Datos!K17-Datos!U17)/Datos!U17,(Datos!K17+Datos!AE17-(Datos!U17+Datos!AM17))/(Datos!U17+Datos!AM17))
     ),IF(D_I="SI",(Datos!K17-Datos!U17)/Datos!U17,(Datos!K17+Datos!AE17-(Datos!U17+Datos!AM17))/(Datos!U17+Datos!AM17))," - ")</f>
        <v>0.6</v>
      </c>
      <c r="E17" s="459">
        <f>IF(ISNUMBER(
   IF(D_I="SI",(Datos!L17-Datos!V17)/Datos!V17,(Datos!L17+Datos!AF17-(Datos!V17+Datos!AN17))/(Datos!V17+Datos!AN17))
     ),IF(D_I="SI",(Datos!L17-Datos!V17)/Datos!V17,(Datos!L17+Datos!AF17-(Datos!V17+Datos!AN17))/(Datos!V17+Datos!AN17))," - ")</f>
        <v>0.63157894736842102</v>
      </c>
      <c r="F17" s="459">
        <f>IF(ISNUMBER((Datos!M17-Datos!W17)/Datos!W17),(Datos!M17-Datos!W17)/Datos!W17," - ")</f>
        <v>0.58333333333333337</v>
      </c>
      <c r="G17" s="460">
        <f>IF(ISNUMBER((Datos!N17-Datos!X17)/Datos!X17),(Datos!N17-Datos!X17)/Datos!X17," - ")</f>
        <v>0.79591836734693877</v>
      </c>
      <c r="H17" s="458">
        <f>IF(ISNUMBER(((NºAsuntos!G17/NºAsuntos!E17)-Datos!BD17)/Datos!BD17),((NºAsuntos!G17/NºAsuntos!E17)-Datos!BD17)/Datos!BD17," - ")</f>
        <v>1.1764705882352873E-2</v>
      </c>
      <c r="I17" s="459">
        <f>IF(ISNUMBER(((NºAsuntos!I17/NºAsuntos!G17)-Datos!BE17)/Datos!BE17),((NºAsuntos!I17/NºAsuntos!G17)-Datos!BE17)/Datos!BE17," - ")</f>
        <v>1.9736842105263264E-2</v>
      </c>
      <c r="J17" s="464">
        <f>IF(ISNUMBER((('Resol  Asuntos'!D17/NºAsuntos!G17)-Datos!BF17)/Datos!BF17),(('Resol  Asuntos'!D17/NºAsuntos!G17)-Datos!BF17)/Datos!BF17," - ")</f>
        <v>-1.041666666666663E-2</v>
      </c>
      <c r="K17" s="465">
        <f>IF(ISNUMBER((((NºAsuntos!C17+NºAsuntos!E17)/NºAsuntos!G17)-Datos!BG17)/Datos!BG17),(((NºAsuntos!C17+NºAsuntos!E17)/NºAsuntos!G17)-Datos!BG17)/Datos!BG17," - ")</f>
        <v>7.6530612244897689E-3</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0.1002615518744551</v>
      </c>
      <c r="C18" s="858">
        <f>IF(ISNUMBER(
   IF(Criterios!B14="SI",(Datos!J18-Datos!T18)/Datos!T18,(Datos!J18+Datos!AD18-(Datos!T18+Datos!AL18))/(Datos!T18+Datos!AL18))
     ),IF(Criterios!B14="SI",(Datos!J18-Datos!T18)/Datos!T18,(Datos!J18+Datos!AD18-(Datos!T18+Datos!AL18))/(Datos!T18+Datos!AL18))," - ")</f>
        <v>0.14394765539803708</v>
      </c>
      <c r="D18" s="858">
        <f>IF(ISNUMBER(
   IF(Criterios!B14="SI",(Datos!K18-Datos!U18)/Datos!U18,(Datos!K18+Datos!AE18-(Datos!U18+Datos!AM18))/(Datos!U18+Datos!AM18))
     ),IF(Criterios!B14="SI",(Datos!K18-Datos!U18)/Datos!U18,(Datos!K18+Datos!AE18-(Datos!U18+Datos!AM18))/(Datos!U18+Datos!AM18))," - ")</f>
        <v>0.25028312570781425</v>
      </c>
      <c r="E18" s="858">
        <f>IF(ISNUMBER(
   IF(Criterios!B14="SI",(Datos!L18-Datos!V18)/Datos!V18,(Datos!L18+Datos!AF18-(Datos!V18+Datos!AN18))/(Datos!V18+Datos!AN18))
     ),IF(Criterios!B14="SI",(Datos!L18-Datos!V18)/Datos!V18,(Datos!L18+Datos!AF18-(Datos!V18+Datos!AN18))/(Datos!V18+Datos!AN18))," - ")</f>
        <v>2.8789161727349702E-2</v>
      </c>
      <c r="F18" s="859">
        <f>IF(ISNUMBER((Datos!M18-Datos!W18)/Datos!W18),(Datos!M18-Datos!W18)/Datos!W18," - ")</f>
        <v>0.1326530612244898</v>
      </c>
      <c r="G18" s="860">
        <f>IF(ISNUMBER((Datos!N18-Datos!X18)/Datos!X18),(Datos!N18-Datos!X18)/Datos!X18," - ")</f>
        <v>0.28227194492254731</v>
      </c>
      <c r="H18" s="860">
        <f>IF(ISNUMBER(((NºAsuntos!G18/NºAsuntos!E18)-Datos!BD18)/Datos!BD18),((NºAsuntos!G18/NºAsuntos!E18)-Datos!BD18)/Datos!BD18," - ")</f>
        <v>9.295483915544854E-2</v>
      </c>
      <c r="I18" s="860">
        <f>IF(ISNUMBER(((NºAsuntos!I18/NºAsuntos!G18)-Datos!BE18)/Datos!BE18),((NºAsuntos!I18/NºAsuntos!G18)-Datos!BE18)/Datos!BE18," - ")</f>
        <v>-0.17715504546625924</v>
      </c>
      <c r="J18" s="860">
        <f>IF(ISNUMBER((('Resol  Asuntos'!D18/NºAsuntos!G18)-Datos!BF18)/Datos!BF18),(('Resol  Asuntos'!D18/NºAsuntos!G18)-Datos!BF18)/Datos!BF18," - ")</f>
        <v>-9.4082741792369098E-2</v>
      </c>
      <c r="K18" s="860">
        <f>IF(ISNUMBER((((NºAsuntos!C18+NºAsuntos!E18)/NºAsuntos!G18)-Datos!BG18)/Datos!BG18),(((NºAsuntos!C18+NºAsuntos!E18)/NºAsuntos!G18)-Datos!BG18)/Datos!BG18," - ")</f>
        <v>-0.10446640475789237</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4.7902641118591403E-2</v>
      </c>
      <c r="C19" s="805">
        <f>IF(ISNUMBER(
   IF(J_V="SI",(Datos!J19-Datos!T19)/Datos!T19,(Datos!J19+Datos!Z19-(Datos!T19+Datos!AH19))/(Datos!T19+Datos!AH19))
     ),IF(J_V="SI",(Datos!J19-Datos!T19)/Datos!T19,(Datos!J19+Datos!Z19-(Datos!T19+Datos!AH19))/(Datos!T19+Datos!AH19))," - ")</f>
        <v>4.632768361581921E-2</v>
      </c>
      <c r="D19" s="805">
        <f>IF(ISNUMBER(
   IF(J_V="SI",(Datos!K19-Datos!U19)/Datos!U19,(Datos!K19+Datos!AA19-(Datos!U19+Datos!AI19))/(Datos!U19+Datos!AI19))
     ),IF(J_V="SI",(Datos!K19-Datos!U19)/Datos!U19,(Datos!K19+Datos!AA19-(Datos!U19+Datos!AI19))/(Datos!U19+Datos!AI19))," - ")</f>
        <v>9.1808686091258931E-2</v>
      </c>
      <c r="E19" s="805">
        <f>IF(ISNUMBER(
   IF(J_V="SI",(Datos!L19-Datos!V19)/Datos!V19,(Datos!L19+Datos!AB19-(Datos!V19+Datos!AJ19))/(Datos!V19+Datos!AJ19))
     ),IF(J_V="SI",(Datos!L19-Datos!V19)/Datos!V19,(Datos!L19+Datos!AB19-(Datos!V19+Datos!AJ19))/(Datos!V19+Datos!AJ19))," - ")</f>
        <v>4.4207723035952065E-2</v>
      </c>
      <c r="F19" s="806">
        <f>IF(ISNUMBER((Datos!M19-Datos!W19)/Datos!W19),(Datos!M19-Datos!W19)/Datos!W19," - ")</f>
        <v>0.21245421245421245</v>
      </c>
      <c r="G19" s="807">
        <f>IF(ISNUMBER((Datos!N19-Datos!X19)/Datos!X19),(Datos!N19-Datos!X19)/Datos!X19," - ")</f>
        <v>8.3076923076923076E-2</v>
      </c>
      <c r="H19" s="808">
        <f>IF(ISNUMBER((Tasas!B19-Datos!BD19)/Datos!BD19),(Tasas!B19-Datos!BD19)/Datos!BD19," - ")</f>
        <v>4.3467264784842384E-2</v>
      </c>
      <c r="I19" s="809">
        <f>IF(ISNUMBER((Tasas!C19-Datos!BE19)/Datos!BE19),(Tasas!C19-Datos!BE19)/Datos!BE19," - ")</f>
        <v>-4.3598263745016658E-2</v>
      </c>
      <c r="J19" s="810">
        <f>IF(ISNUMBER((Tasas!D19-Datos!BF19)/Datos!BF19),(Tasas!D19-Datos!BF19)/Datos!BF19," - ")</f>
        <v>-0.38754208754208758</v>
      </c>
      <c r="K19" s="810">
        <f>IF(ISNUMBER((Tasas!E19-Datos!BG19)/Datos!BG19),(Tasas!E19-Datos!BG19)/Datos!BG19," - ")</f>
        <v>-4.0667395490020977E-2</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07 mar.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jPoZhbDmlb3UZQNhPZDEj6ncdFhnt4G957XZSEDsDh4WEgOX8wX+jWBBsv0a+vWNkED7JisA05zPLAaBUo6/gg==" saltValue="JnaTVG2fV12fKUceIBXO5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ANDALUCIA</v>
      </c>
    </row>
    <row r="3" spans="1:7" ht="19.5">
      <c r="A3" s="439" t="s">
        <v>12</v>
      </c>
      <c r="B3" s="394" t="str">
        <f>Criterios!A10 &amp;"  "&amp;Criterios!B10</f>
        <v>Provincias  SEVILLA</v>
      </c>
    </row>
    <row r="4" spans="1:7" ht="11.25" customHeight="1" thickBot="1">
      <c r="B4" s="394" t="str">
        <f>Criterios!A11 &amp;"  "&amp;Criterios!B11</f>
        <v>Resumenes por Partidos Judiciales  CARMONA</v>
      </c>
    </row>
    <row r="5" spans="1:7" ht="12.75" customHeight="1">
      <c r="A5" s="1201" t="str">
        <f>"Año:  " &amp;Criterios!B5 &amp; "    Trimestre   " &amp;Criterios!D5 &amp; " al " &amp;Criterios!D6</f>
        <v>Año:  2023    Trimestre   4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1</v>
      </c>
      <c r="C10" s="446">
        <f>IF(ISNUMBER(NºAsuntos!I10/NºAsuntos!G10),NºAsuntos!I10/NºAsuntos!G10," - ")</f>
        <v>3.7</v>
      </c>
      <c r="D10" s="447">
        <f>IF(ISNUMBER('Resol  Asuntos'!D10/NºAsuntos!G10),'Resol  Asuntos'!D10/NºAsuntos!G10," - ")</f>
        <v>0.7</v>
      </c>
      <c r="E10" s="448">
        <f>IF(ISNUMBER((NºAsuntos!C10+NºAsuntos!E10)/NºAsuntos!G10),(NºAsuntos!C10+NºAsuntos!E10)/NºAsuntos!G10," - ")</f>
        <v>4.7</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1.0996216897856241</v>
      </c>
      <c r="C12" s="446">
        <f>IF(ISNUMBER(NºAsuntos!I12/NºAsuntos!G12),NºAsuntos!I12/NºAsuntos!G12," - ")</f>
        <v>3.0607798165137616</v>
      </c>
      <c r="D12" s="447">
        <f>IF(ISNUMBER('Resol  Asuntos'!D12/NºAsuntos!G12),'Resol  Asuntos'!D12/NºAsuntos!G12," - ")</f>
        <v>0.24426605504587157</v>
      </c>
      <c r="E12" s="448">
        <f>IF(ISNUMBER((NºAsuntos!C12+NºAsuntos!E12)/NºAsuntos!G12),(NºAsuntos!C12+NºAsuntos!E12)/NºAsuntos!G12," - ")</f>
        <v>4.0607798165137616</v>
      </c>
      <c r="G12" s="466"/>
    </row>
    <row r="13" spans="1:7" ht="14.25" thickTop="1" thickBot="1">
      <c r="A13" s="851" t="str">
        <f>Datos!A13</f>
        <v>TOTAL</v>
      </c>
      <c r="B13" s="861">
        <f>IF(ISNUMBER(NºAsuntos!G13/NºAsuntos!E13),NºAsuntos!G13/NºAsuntos!E13," - ")</f>
        <v>1.0983810709838107</v>
      </c>
      <c r="C13" s="862">
        <f>IF(ISNUMBER(NºAsuntos!I13/NºAsuntos!G13),NºAsuntos!I13/NºAsuntos!G13," - ")</f>
        <v>3.0680272108843538</v>
      </c>
      <c r="D13" s="863">
        <f>IF(ISNUMBER('Resol  Asuntos'!D13/NºAsuntos!G13),'Resol  Asuntos'!D13/NºAsuntos!G13," - ")</f>
        <v>0.24943310657596371</v>
      </c>
      <c r="E13" s="864">
        <f>IF(ISNUMBER((NºAsuntos!C13+NºAsuntos!E13)/NºAsuntos!G13),(NºAsuntos!C13+NºAsuntos!E13)/NºAsuntos!G13," - ")</f>
        <v>4.0680272108843534</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1.0514786418400877</v>
      </c>
      <c r="C16" s="446">
        <f>IF(ISNUMBER(NºAsuntos!I16/NºAsuntos!G16),NºAsuntos!I16/NºAsuntos!G16," - ")</f>
        <v>1.16875</v>
      </c>
      <c r="D16" s="447">
        <f>IF(ISNUMBER('Resol  Asuntos'!D16/NºAsuntos!G16),'Resol  Asuntos'!D16/NºAsuntos!G16," - ")</f>
        <v>9.583333333333334E-2</v>
      </c>
      <c r="E16" s="448">
        <f>IF(ISNUMBER((NºAsuntos!C16+NºAsuntos!E16)/NºAsuntos!G16),(NºAsuntos!C16+NºAsuntos!E16)/NºAsuntos!G16," - ")</f>
        <v>2.1604166666666669</v>
      </c>
      <c r="G16" s="466"/>
    </row>
    <row r="17" spans="1:7" ht="13.5" thickBot="1">
      <c r="A17" s="405" t="str">
        <f>Datos!A17</f>
        <v>Jdos. Violencia contra la mujer</v>
      </c>
      <c r="B17" s="445">
        <f>IF(ISNUMBER(NºAsuntos!G17/NºAsuntos!E17),NºAsuntos!G17/NºAsuntos!E17," - ")</f>
        <v>1.0588235294117647</v>
      </c>
      <c r="C17" s="446">
        <f>IF(ISNUMBER(NºAsuntos!I17/NºAsuntos!G17),NºAsuntos!I17/NºAsuntos!G17," - ")</f>
        <v>0.64583333333333337</v>
      </c>
      <c r="D17" s="447">
        <f>IF(ISNUMBER('Resol  Asuntos'!D17/NºAsuntos!G17),'Resol  Asuntos'!D17/NºAsuntos!G17," - ")</f>
        <v>0.13194444444444445</v>
      </c>
      <c r="E17" s="448">
        <f>IF(ISNUMBER((NºAsuntos!C17+NºAsuntos!E17)/NºAsuntos!G17),(NºAsuntos!C17+NºAsuntos!E17)/NºAsuntos!G17," - ")</f>
        <v>1.6458333333333333</v>
      </c>
      <c r="G17" s="466"/>
    </row>
    <row r="18" spans="1:7" ht="14.25" thickTop="1" thickBot="1">
      <c r="A18" s="851" t="str">
        <f>Datos!A18</f>
        <v>TOTAL</v>
      </c>
      <c r="B18" s="861">
        <f>IF(ISNUMBER(NºAsuntos!G18/NºAsuntos!E18),NºAsuntos!G18/NºAsuntos!E18," - ")</f>
        <v>1.0524308865586272</v>
      </c>
      <c r="C18" s="862">
        <f>IF(ISNUMBER(NºAsuntos!I18/NºAsuntos!G18),NºAsuntos!I18/NºAsuntos!G18," - ")</f>
        <v>1.1005434782608696</v>
      </c>
      <c r="D18" s="865">
        <f>IF(ISNUMBER('Resol  Asuntos'!D18/NºAsuntos!G18),'Resol  Asuntos'!D18/NºAsuntos!G18," - ")</f>
        <v>0.10054347826086957</v>
      </c>
      <c r="E18" s="864">
        <f>IF(ISNUMBER((NºAsuntos!C18+NºAsuntos!E18)/NºAsuntos!G18),(NºAsuntos!C18+NºAsuntos!E18)/NºAsuntos!G18," - ")</f>
        <v>2.0932971014492754</v>
      </c>
      <c r="G18" s="466"/>
    </row>
    <row r="19" spans="1:7" ht="15.75" customHeight="1" thickTop="1" thickBot="1">
      <c r="A19" s="796" t="str">
        <f>Datos!A19</f>
        <v>TOTAL JURISDICCIONES</v>
      </c>
      <c r="B19" s="811">
        <f>IF(ISNUMBER(NºAsuntos!G19/NºAsuntos!E19),NºAsuntos!G19/NºAsuntos!E19," - ")</f>
        <v>1.0723542116630669</v>
      </c>
      <c r="C19" s="812">
        <f>IF(ISNUMBER(NºAsuntos!I19/NºAsuntos!G19),NºAsuntos!I19/NºAsuntos!G19," - ")</f>
        <v>1.9743202416918428</v>
      </c>
      <c r="D19" s="813">
        <f>IF(ISNUMBER('Resol  Asuntos'!D19/NºAsuntos!G19),'Resol  Asuntos'!D19/NºAsuntos!G19," - ")</f>
        <v>0.16666666666666666</v>
      </c>
      <c r="E19" s="814">
        <f>IF(ISNUMBER((NºAsuntos!C19+NºAsuntos!E19)/NºAsuntos!G19),(NºAsuntos!C19+NºAsuntos!E19)/NºAsuntos!G19," - ")</f>
        <v>2.9702920443101712</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07 mar.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7YbeWzbh4719GgKg1N0SRc1aNk2CWjdE/M/3s1WvzLeZn2zqS4Hv9z7faVx8p0UcLN4Hp7OFQ0AkBW8DqDn2FA==" saltValue="3jAgyrtjwEXML76ytYaO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3" zoomScale="85" zoomScaleNormal="85" workbookViewId="0">
      <selection activeCell="E68" sqref="E68"/>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ANDALUCIA</v>
      </c>
      <c r="G2" s="266"/>
      <c r="H2" s="265"/>
      <c r="I2" s="265"/>
      <c r="J2" s="265"/>
      <c r="K2" s="265"/>
      <c r="L2" s="265" t="str">
        <f>Criterios!A10 &amp;"  "&amp;Criterios!B10</f>
        <v>Provincias  SEVILLA</v>
      </c>
      <c r="N2" s="265" t="str">
        <f>Criterios!A11 &amp;"  "&amp;Criterios!B11</f>
        <v>Resumenes por Partidos Judiciales  CARMONA</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54" t="s">
        <v>354</v>
      </c>
      <c r="B5" s="275"/>
      <c r="C5" s="1257" t="str">
        <f>"Año:  " &amp;Criterios!B$5 &amp; "          Trimestre   " &amp;Criterios!D$5 &amp; " al " &amp;Criterios!D$6</f>
        <v>Año:  2023          Trimestre   4 al 4</v>
      </c>
      <c r="D5" s="1236" t="s">
        <v>380</v>
      </c>
      <c r="E5" s="1236" t="s">
        <v>321</v>
      </c>
      <c r="F5" s="1259" t="s">
        <v>410</v>
      </c>
      <c r="G5" s="1262" t="s">
        <v>128</v>
      </c>
      <c r="H5" s="1242" t="s">
        <v>162</v>
      </c>
      <c r="I5" s="1242" t="s">
        <v>166</v>
      </c>
      <c r="J5" s="1242" t="s">
        <v>167</v>
      </c>
      <c r="K5" s="1242" t="s">
        <v>411</v>
      </c>
      <c r="L5" s="1242" t="s">
        <v>591</v>
      </c>
      <c r="M5" s="1242" t="s">
        <v>325</v>
      </c>
      <c r="N5" s="1242" t="s">
        <v>381</v>
      </c>
      <c r="O5" s="1242" t="s">
        <v>413</v>
      </c>
      <c r="P5" s="1242" t="s">
        <v>165</v>
      </c>
      <c r="Q5" s="1242" t="s">
        <v>41</v>
      </c>
      <c r="R5" s="1268" t="s">
        <v>168</v>
      </c>
      <c r="S5" s="1271" t="s">
        <v>171</v>
      </c>
      <c r="T5" s="1289" t="s">
        <v>172</v>
      </c>
      <c r="U5" s="1286" t="s">
        <v>173</v>
      </c>
      <c r="V5" s="1280" t="s">
        <v>323</v>
      </c>
      <c r="W5" s="1245" t="s">
        <v>174</v>
      </c>
      <c r="X5" s="1248" t="s">
        <v>175</v>
      </c>
      <c r="Y5" s="1248" t="s">
        <v>176</v>
      </c>
      <c r="Z5" s="1283" t="s">
        <v>177</v>
      </c>
      <c r="AA5" s="1239" t="s">
        <v>178</v>
      </c>
      <c r="AB5" s="1242" t="s">
        <v>179</v>
      </c>
      <c r="AC5" s="1242" t="s">
        <v>180</v>
      </c>
      <c r="AD5" s="1251" t="s">
        <v>181</v>
      </c>
      <c r="AE5" s="1236" t="s">
        <v>184</v>
      </c>
      <c r="AF5" s="1274" t="s">
        <v>182</v>
      </c>
      <c r="AG5" s="1242" t="s">
        <v>183</v>
      </c>
      <c r="AH5" s="1268" t="s">
        <v>202</v>
      </c>
      <c r="AI5" s="1239" t="s">
        <v>185</v>
      </c>
      <c r="AJ5" s="1277" t="s">
        <v>250</v>
      </c>
      <c r="AK5" s="1265" t="s">
        <v>251</v>
      </c>
      <c r="AL5" s="1236" t="s">
        <v>252</v>
      </c>
      <c r="AM5" s="1236" t="s">
        <v>362</v>
      </c>
      <c r="AN5" s="1236" t="s">
        <v>253</v>
      </c>
      <c r="AO5" s="1236" t="s">
        <v>254</v>
      </c>
      <c r="AP5" s="1236" t="s">
        <v>304</v>
      </c>
      <c r="AQ5" s="1236" t="s">
        <v>186</v>
      </c>
      <c r="AR5" s="1236" t="s">
        <v>187</v>
      </c>
      <c r="AS5" s="1236" t="s">
        <v>392</v>
      </c>
      <c r="AT5" s="1236" t="s">
        <v>297</v>
      </c>
      <c r="AU5" s="1236" t="s">
        <v>298</v>
      </c>
      <c r="AV5" s="1236" t="s">
        <v>336</v>
      </c>
      <c r="AW5" s="1236" t="s">
        <v>846</v>
      </c>
      <c r="AX5" s="1236" t="s">
        <v>324</v>
      </c>
      <c r="AY5" s="1236" t="s">
        <v>757</v>
      </c>
      <c r="AZ5" s="1236" t="s">
        <v>758</v>
      </c>
      <c r="BF5" s="1294" t="s">
        <v>203</v>
      </c>
      <c r="BG5" s="1295"/>
      <c r="BH5" s="1294" t="s">
        <v>204</v>
      </c>
      <c r="BI5" s="1295"/>
      <c r="BJ5" s="1294" t="s">
        <v>205</v>
      </c>
      <c r="BK5" s="1295"/>
      <c r="BL5" s="1294" t="s">
        <v>206</v>
      </c>
      <c r="BM5" s="1295"/>
    </row>
    <row r="6" spans="1:65" ht="21.75" customHeight="1">
      <c r="A6" s="1255"/>
      <c r="B6" s="276"/>
      <c r="C6" s="1258"/>
      <c r="D6" s="1237"/>
      <c r="E6" s="1237"/>
      <c r="F6" s="1260"/>
      <c r="G6" s="1263"/>
      <c r="H6" s="1243"/>
      <c r="I6" s="1243"/>
      <c r="J6" s="1243"/>
      <c r="K6" s="1243"/>
      <c r="L6" s="1243"/>
      <c r="M6" s="1243"/>
      <c r="N6" s="1243"/>
      <c r="O6" s="1243"/>
      <c r="P6" s="1243"/>
      <c r="Q6" s="1243"/>
      <c r="R6" s="1269"/>
      <c r="S6" s="1272"/>
      <c r="T6" s="1290"/>
      <c r="U6" s="1287"/>
      <c r="V6" s="1281"/>
      <c r="W6" s="1246"/>
      <c r="X6" s="1249"/>
      <c r="Y6" s="1249"/>
      <c r="Z6" s="1284"/>
      <c r="AA6" s="1240"/>
      <c r="AB6" s="1243"/>
      <c r="AC6" s="1243"/>
      <c r="AD6" s="1252"/>
      <c r="AE6" s="1237"/>
      <c r="AF6" s="1275"/>
      <c r="AG6" s="1243"/>
      <c r="AH6" s="1269"/>
      <c r="AI6" s="1240"/>
      <c r="AJ6" s="1278"/>
      <c r="AK6" s="1266"/>
      <c r="AL6" s="1237"/>
      <c r="AM6" s="1237"/>
      <c r="AN6" s="1237"/>
      <c r="AO6" s="1237"/>
      <c r="AP6" s="1237"/>
      <c r="AQ6" s="1237"/>
      <c r="AR6" s="1237"/>
      <c r="AS6" s="1237"/>
      <c r="AT6" s="1237"/>
      <c r="AU6" s="1237"/>
      <c r="AV6" s="1237"/>
      <c r="AW6" s="1237"/>
      <c r="AX6" s="1237"/>
      <c r="AY6" s="1237"/>
      <c r="AZ6" s="1237"/>
      <c r="BF6" s="1292" t="s">
        <v>163</v>
      </c>
      <c r="BG6" s="1292" t="s">
        <v>164</v>
      </c>
      <c r="BH6" s="1292" t="s">
        <v>163</v>
      </c>
      <c r="BI6" s="1292" t="s">
        <v>164</v>
      </c>
      <c r="BJ6" s="1292" t="s">
        <v>163</v>
      </c>
      <c r="BK6" s="1292" t="s">
        <v>164</v>
      </c>
      <c r="BL6" s="1292" t="s">
        <v>163</v>
      </c>
      <c r="BM6" s="1292" t="s">
        <v>164</v>
      </c>
    </row>
    <row r="7" spans="1:65" ht="38.25" customHeight="1" thickBot="1">
      <c r="A7" s="1256"/>
      <c r="B7" s="277"/>
      <c r="C7" s="267" t="str">
        <f>Datos!A7</f>
        <v>COMPETENCIAS</v>
      </c>
      <c r="D7" s="1238"/>
      <c r="E7" s="1238"/>
      <c r="F7" s="1261"/>
      <c r="G7" s="1264"/>
      <c r="H7" s="1244"/>
      <c r="I7" s="1244"/>
      <c r="J7" s="1244"/>
      <c r="K7" s="1244"/>
      <c r="L7" s="1244"/>
      <c r="M7" s="1244"/>
      <c r="N7" s="1244"/>
      <c r="O7" s="1244"/>
      <c r="P7" s="1244"/>
      <c r="Q7" s="1244"/>
      <c r="R7" s="1270"/>
      <c r="S7" s="1273"/>
      <c r="T7" s="1291"/>
      <c r="U7" s="1288"/>
      <c r="V7" s="1282"/>
      <c r="W7" s="1247"/>
      <c r="X7" s="1250"/>
      <c r="Y7" s="1250"/>
      <c r="Z7" s="1285"/>
      <c r="AA7" s="1241"/>
      <c r="AB7" s="1244"/>
      <c r="AC7" s="1244"/>
      <c r="AD7" s="1253"/>
      <c r="AE7" s="1238"/>
      <c r="AF7" s="1276"/>
      <c r="AG7" s="1244"/>
      <c r="AH7" s="1270"/>
      <c r="AI7" s="1241"/>
      <c r="AJ7" s="1279"/>
      <c r="AK7" s="1267"/>
      <c r="AL7" s="1238"/>
      <c r="AM7" s="1238"/>
      <c r="AN7" s="1238"/>
      <c r="AO7" s="1238"/>
      <c r="AP7" s="1238"/>
      <c r="AQ7" s="1238"/>
      <c r="AR7" s="1238"/>
      <c r="AS7" s="1238"/>
      <c r="AT7" s="1238"/>
      <c r="AU7" s="1238"/>
      <c r="AV7" s="1238"/>
      <c r="AW7" s="1238"/>
      <c r="AX7" s="1238"/>
      <c r="AY7" s="1238"/>
      <c r="AZ7" s="1238"/>
      <c r="BF7" s="1293"/>
      <c r="BG7" s="1293"/>
      <c r="BH7" s="1293"/>
      <c r="BI7" s="1293"/>
      <c r="BJ7" s="1293"/>
      <c r="BK7" s="1293"/>
      <c r="BL7" s="1293"/>
      <c r="BM7" s="1293"/>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249</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249</v>
      </c>
      <c r="C10" s="7" t="str">
        <f>Datos!A10</f>
        <v>Jdos. Violencia contra la mujer</v>
      </c>
      <c r="D10" s="7"/>
      <c r="E10" s="1028">
        <f>IF(ISNUMBER(Datos!AQ10),Datos!AQ10," - ")</f>
        <v>0</v>
      </c>
      <c r="F10" s="228">
        <f>IF(ISNUMBER(Datos!L10+Datos!K10-Datos!J10-K10),Datos!L10+Datos!K10-Datos!J10-K10," - ")</f>
        <v>37</v>
      </c>
      <c r="G10" s="336">
        <f>IF(ISNUMBER(Datos!I10),Datos!I10," - ")</f>
        <v>37</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0</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10</v>
      </c>
      <c r="X10" s="229">
        <f>IF(ISNUMBER(Datos!Q10),Datos!Q10," - ")</f>
        <v>0</v>
      </c>
      <c r="Y10" s="337">
        <f t="shared" ref="Y10:Y12" si="0">SUM(W10:X10)</f>
        <v>10</v>
      </c>
      <c r="Z10" s="338" t="str">
        <f>IF(ISNUMBER(Datos!CC10),Datos!CC10," - ")</f>
        <v xml:space="preserve"> - </v>
      </c>
      <c r="AA10" s="335">
        <f>IF(ISNUMBER(Datos!L10),Datos!L10,"-")</f>
        <v>37</v>
      </c>
      <c r="AB10" s="337">
        <f>IF(ISNUMBER(Datos!R10),Datos!R10," - ")</f>
        <v>6</v>
      </c>
      <c r="AC10" s="337">
        <f t="shared" ref="AC10:AC12" si="1">IF(ISNUMBER(AA10+AB10),AA10+AB10," - ")</f>
        <v>43</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7</v>
      </c>
      <c r="AJ10" s="234" t="str">
        <f>IF(ISNUMBER(Datos!BW10),Datos!BW10," - ")</f>
        <v xml:space="preserve"> - </v>
      </c>
      <c r="AK10" s="235" t="str">
        <f>IF(ISNUMBER(Datos!BX10),Datos!BX10," - ")</f>
        <v xml:space="preserve"> - </v>
      </c>
      <c r="AL10" s="246">
        <f>IF(ISNUMBER(NºAsuntos!G10/NºAsuntos!E10),NºAsuntos!G10/NºAsuntos!E10," - ")</f>
        <v>1</v>
      </c>
      <c r="AM10" s="263">
        <f>IF(ISNUMBER(((NºAsuntos!I10/NºAsuntos!G10)*11)/factor_trimestre),((NºAsuntos!I10/NºAsuntos!G10)*11)/factor_trimestre," - ")</f>
        <v>11.100000000000001</v>
      </c>
      <c r="AN10" s="247">
        <f>IF(ISNUMBER('Resol  Asuntos'!D10/NºAsuntos!G10),'Resol  Asuntos'!D10/NºAsuntos!G10," - ")</f>
        <v>0.7</v>
      </c>
      <c r="AO10" s="248">
        <f>IF(ISNUMBER((NºAsuntos!C10+NºAsuntos!E10)/NºAsuntos!G10),(NºAsuntos!C10+NºAsuntos!E10)/NºAsuntos!G10," - ")</f>
        <v>4.7</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249</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3</v>
      </c>
      <c r="B12" s="278" t="s">
        <v>249</v>
      </c>
      <c r="C12" s="7" t="str">
        <f>Datos!A12</f>
        <v xml:space="preserve">Jdos. 1ª Instª. e Instr.                        </v>
      </c>
      <c r="D12" s="7"/>
      <c r="E12" s="1028">
        <f>IF(ISNUMBER(Datos!AQ12),Datos!AQ12," - ")</f>
        <v>3</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220</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253</v>
      </c>
      <c r="Y12" s="337">
        <f t="shared" si="0"/>
        <v>253</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2914</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213</v>
      </c>
      <c r="AJ12" s="232" t="str">
        <f>IF(ISNUMBER(Datos!BW12),Datos!BW12," - ")</f>
        <v xml:space="preserve"> - </v>
      </c>
      <c r="AK12" s="231" t="str">
        <f>IF(ISNUMBER(Datos!BX12),Datos!BX12," - ")</f>
        <v xml:space="preserve"> - </v>
      </c>
      <c r="AL12" s="246">
        <f>IF(ISNUMBER(NºAsuntos!G12/NºAsuntos!E12),NºAsuntos!G12/NºAsuntos!E12," - ")</f>
        <v>1.0996216897856241</v>
      </c>
      <c r="AM12" s="263">
        <f>IF(ISNUMBER(((NºAsuntos!I12/NºAsuntos!G12)*11)/factor_trimestre),((NºAsuntos!I12/NºAsuntos!G12)*11)/factor_trimestre," - ")</f>
        <v>9.1823394495412867</v>
      </c>
      <c r="AN12" s="247">
        <f>IF(ISNUMBER('Resol  Asuntos'!D12/NºAsuntos!G12),'Resol  Asuntos'!D12/NºAsuntos!G12," - ")</f>
        <v>0.24426605504587157</v>
      </c>
      <c r="AO12" s="248">
        <f>IF(ISNUMBER((NºAsuntos!C12+NºAsuntos!E12)/NºAsuntos!G12),(NºAsuntos!C12+NºAsuntos!E12)/NºAsuntos!G12," - ")</f>
        <v>4.0607798165137616</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3</v>
      </c>
      <c r="F13" s="868">
        <f t="shared" si="3"/>
        <v>37</v>
      </c>
      <c r="G13" s="869">
        <f t="shared" si="3"/>
        <v>37</v>
      </c>
      <c r="H13" s="868">
        <f t="shared" si="3"/>
        <v>0</v>
      </c>
      <c r="I13" s="870">
        <f t="shared" si="3"/>
        <v>0</v>
      </c>
      <c r="J13" s="870">
        <f t="shared" si="3"/>
        <v>0</v>
      </c>
      <c r="K13" s="870">
        <f t="shared" si="3"/>
        <v>0</v>
      </c>
      <c r="L13" s="870">
        <f t="shared" si="3"/>
        <v>220</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10</v>
      </c>
      <c r="X13" s="870">
        <f t="shared" si="4"/>
        <v>253</v>
      </c>
      <c r="Y13" s="871">
        <f t="shared" si="4"/>
        <v>263</v>
      </c>
      <c r="Z13" s="871">
        <f t="shared" si="4"/>
        <v>0</v>
      </c>
      <c r="AA13" s="871">
        <f t="shared" si="4"/>
        <v>37</v>
      </c>
      <c r="AB13" s="871">
        <f t="shared" si="4"/>
        <v>2920</v>
      </c>
      <c r="AC13" s="871">
        <f t="shared" si="4"/>
        <v>43</v>
      </c>
      <c r="AD13" s="871">
        <f t="shared" si="4"/>
        <v>0</v>
      </c>
      <c r="AE13" s="875">
        <f t="shared" si="4"/>
        <v>0</v>
      </c>
      <c r="AF13" s="868">
        <f t="shared" si="4"/>
        <v>0</v>
      </c>
      <c r="AG13" s="876">
        <f t="shared" si="4"/>
        <v>0</v>
      </c>
      <c r="AH13" s="873">
        <f t="shared" si="4"/>
        <v>0</v>
      </c>
      <c r="AI13" s="868">
        <f t="shared" si="4"/>
        <v>220</v>
      </c>
      <c r="AJ13" s="870">
        <f t="shared" si="4"/>
        <v>0</v>
      </c>
      <c r="AK13" s="873">
        <f>SUBTOTAL(9,AK9:AK12)</f>
        <v>0</v>
      </c>
      <c r="AL13" s="877">
        <f>IF(ISNUMBER(NºAsuntos!G13/NºAsuntos!E13),NºAsuntos!G13/NºAsuntos!E13," - ")</f>
        <v>1.0983810709838107</v>
      </c>
      <c r="AM13" s="877">
        <f>IF(ISNUMBER(((NºAsuntos!I13/NºAsuntos!G13)*11)/factor_trimestre),((NºAsuntos!I13/NºAsuntos!G13)*11)/factor_trimestre," - ")</f>
        <v>9.204081632653061</v>
      </c>
      <c r="AN13" s="878">
        <f>IF(ISNUMBER('Resol  Asuntos'!D13/NºAsuntos!G13),'Resol  Asuntos'!D13/NºAsuntos!G13," - ")</f>
        <v>0.24943310657596371</v>
      </c>
      <c r="AO13" s="879">
        <f>IF(ISNUMBER((NºAsuntos!C13+NºAsuntos!E13)/NºAsuntos!G13),(NºAsuntos!C13+NºAsuntos!E13)/NºAsuntos!G13," - ")</f>
        <v>4.0680272108843534</v>
      </c>
      <c r="AP13" s="880" t="str">
        <f t="shared" si="2"/>
        <v xml:space="preserve"> - </v>
      </c>
      <c r="AQ13" s="880">
        <f>IF(ISNUMBER((H13-W13+K13)/(F13)),(H13-W13+K13)/(F13)," - ")</f>
        <v>-0.27027027027027029</v>
      </c>
      <c r="AR13" s="881">
        <f>IF(ISNUMBER((Datos!P13-Datos!Q13)/(Datos!R13-Datos!P13+Datos!Q13)),(Datos!P13-Datos!Q13)/(Datos!R13-Datos!P13+Datos!Q13)," - ")</f>
        <v>-1.1175076193701321E-2</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400</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3</v>
      </c>
      <c r="B16" s="278" t="s">
        <v>400</v>
      </c>
      <c r="C16" s="163" t="str">
        <f>Datos!A16</f>
        <v xml:space="preserve">Jdos. 1ª Instª. e Instr.                        </v>
      </c>
      <c r="D16" s="163"/>
      <c r="E16" s="1028">
        <f>IF(ISNUMBER(Datos!AQ16),Datos!AQ16," - ")</f>
        <v>3</v>
      </c>
      <c r="F16" s="228">
        <f>IF(ISNUMBER(AA16+W16-Datos!J16-K16),AA16+W16-Datos!J16-K16," - ")</f>
        <v>1169</v>
      </c>
      <c r="G16" s="336">
        <f>IF(ISNUMBER(IF(D_I="SI",Datos!I16,Datos!I16+Datos!AC16)),IF(D_I="SI",Datos!I16,Datos!I16+Datos!AC16)," - ")</f>
        <v>1161</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42</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960</v>
      </c>
      <c r="X16" s="229">
        <f>IF(ISNUMBER(Datos!Q16),Datos!Q16," - ")</f>
        <v>26</v>
      </c>
      <c r="Y16" s="337">
        <f t="shared" ref="Y16:Y17" si="7">SUM(W16:X16)</f>
        <v>986</v>
      </c>
      <c r="Z16" s="338" t="str">
        <f>IF(ISNUMBER(Datos!CC16),Datos!CC16," - ")</f>
        <v xml:space="preserve"> - </v>
      </c>
      <c r="AA16" s="335">
        <f>IF(ISNUMBER(IF(D_I="SI",Datos!L16,Datos!L16+Datos!AF16)),IF(D_I="SI",Datos!L16,Datos!L16+Datos!AF16)," - ")</f>
        <v>1122</v>
      </c>
      <c r="AB16" s="337">
        <f>IF(ISNUMBER(Datos!R16),Datos!R16," - ")</f>
        <v>97</v>
      </c>
      <c r="AC16" s="337">
        <f t="shared" si="6"/>
        <v>1219</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92</v>
      </c>
      <c r="AJ16" s="234" t="str">
        <f>IF(ISNUMBER(Datos!BW16),Datos!BW16," - ")</f>
        <v xml:space="preserve"> - </v>
      </c>
      <c r="AK16" s="235" t="str">
        <f>IF(ISNUMBER(Datos!BX16),Datos!BX16," - ")</f>
        <v xml:space="preserve"> - </v>
      </c>
      <c r="AL16" s="246">
        <f>IF(ISNUMBER(NºAsuntos!G16/NºAsuntos!E16),NºAsuntos!G16/NºAsuntos!E16," - ")</f>
        <v>1.0514786418400877</v>
      </c>
      <c r="AM16" s="263">
        <f>IF(ISNUMBER(((NºAsuntos!I16/NºAsuntos!G16)*11)/factor_trimestre),((NºAsuntos!I16/NºAsuntos!G16)*11)/factor_trimestre," - ")</f>
        <v>3.5062500000000001</v>
      </c>
      <c r="AN16" s="247">
        <f>IF(ISNUMBER('Resol  Asuntos'!D16/NºAsuntos!G16),'Resol  Asuntos'!D16/NºAsuntos!G16," - ")</f>
        <v>9.583333333333334E-2</v>
      </c>
      <c r="AO16" s="248">
        <f>IF(ISNUMBER((NºAsuntos!C16+NºAsuntos!E16)/NºAsuntos!G16),(NºAsuntos!C16+NºAsuntos!E16)/NºAsuntos!G16," - ")</f>
        <v>2.1604166666666669</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400</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101</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4</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144</v>
      </c>
      <c r="X17" s="229">
        <f>IF(ISNUMBER(Datos!Q17),Datos!Q17," - ")</f>
        <v>6</v>
      </c>
      <c r="Y17" s="337">
        <f t="shared" si="7"/>
        <v>150</v>
      </c>
      <c r="Z17" s="338" t="str">
        <f>IF(ISNUMBER(Datos!CC17),Datos!CC17," - ")</f>
        <v xml:space="preserve"> - </v>
      </c>
      <c r="AA17" s="335">
        <f>IF(ISNUMBER(Datos!L17),Datos!L17,"-")</f>
        <v>93</v>
      </c>
      <c r="AB17" s="337">
        <f>IF(ISNUMBER(Datos!R17),Datos!R17," - ")</f>
        <v>4</v>
      </c>
      <c r="AC17" s="337">
        <f t="shared" si="6"/>
        <v>97</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19</v>
      </c>
      <c r="AJ17" s="234" t="str">
        <f>IF(ISNUMBER(Datos!BW17),Datos!BW17," - ")</f>
        <v xml:space="preserve"> - </v>
      </c>
      <c r="AK17" s="235" t="str">
        <f>IF(ISNUMBER(Datos!BX17),Datos!BX17," - ")</f>
        <v xml:space="preserve"> - </v>
      </c>
      <c r="AL17" s="246">
        <f>IF(ISNUMBER(NºAsuntos!G17/NºAsuntos!E17),NºAsuntos!G17/NºAsuntos!E17," - ")</f>
        <v>1.0588235294117647</v>
      </c>
      <c r="AM17" s="263">
        <f>IF(ISNUMBER(((NºAsuntos!I17/NºAsuntos!G17)*11)/factor_trimestre),((NºAsuntos!I17/NºAsuntos!G17)*11)/factor_trimestre," - ")</f>
        <v>1.9375000000000002</v>
      </c>
      <c r="AN17" s="247">
        <f>IF(ISNUMBER('Resol  Asuntos'!D17/NºAsuntos!G17),'Resol  Asuntos'!D17/NºAsuntos!G17," - ")</f>
        <v>0.13194444444444445</v>
      </c>
      <c r="AO17" s="248">
        <f>IF(ISNUMBER((NºAsuntos!C17+NºAsuntos!E17)/NºAsuntos!G17),(NºAsuntos!C17+NºAsuntos!E17)/NºAsuntos!G17," - ")</f>
        <v>1.6458333333333333</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3</v>
      </c>
      <c r="F18" s="868">
        <f>SUBTOTAL(9,F14:F17)</f>
        <v>1169</v>
      </c>
      <c r="G18" s="869">
        <f>SUBTOTAL(9,G15:G17)</f>
        <v>1262</v>
      </c>
      <c r="H18" s="868">
        <f t="shared" ref="H18:O18" si="10">SUBTOTAL(9,H14:H17)</f>
        <v>0</v>
      </c>
      <c r="I18" s="870">
        <f t="shared" si="10"/>
        <v>0</v>
      </c>
      <c r="J18" s="870">
        <f t="shared" si="10"/>
        <v>0</v>
      </c>
      <c r="K18" s="870">
        <f t="shared" si="10"/>
        <v>0</v>
      </c>
      <c r="L18" s="870">
        <f t="shared" si="10"/>
        <v>46</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1104</v>
      </c>
      <c r="X18" s="870">
        <f t="shared" si="11"/>
        <v>32</v>
      </c>
      <c r="Y18" s="871">
        <f t="shared" si="11"/>
        <v>1136</v>
      </c>
      <c r="Z18" s="871">
        <f t="shared" si="11"/>
        <v>0</v>
      </c>
      <c r="AA18" s="871">
        <f t="shared" si="11"/>
        <v>1215</v>
      </c>
      <c r="AB18" s="871">
        <f t="shared" si="11"/>
        <v>101</v>
      </c>
      <c r="AC18" s="871">
        <f t="shared" si="11"/>
        <v>1316</v>
      </c>
      <c r="AD18" s="871">
        <f t="shared" si="11"/>
        <v>0</v>
      </c>
      <c r="AE18" s="875">
        <f t="shared" si="11"/>
        <v>0</v>
      </c>
      <c r="AF18" s="868">
        <f t="shared" si="11"/>
        <v>0</v>
      </c>
      <c r="AG18" s="876">
        <f t="shared" si="11"/>
        <v>0</v>
      </c>
      <c r="AH18" s="873">
        <f t="shared" si="11"/>
        <v>0</v>
      </c>
      <c r="AI18" s="868">
        <f t="shared" si="11"/>
        <v>111</v>
      </c>
      <c r="AJ18" s="870">
        <f t="shared" si="11"/>
        <v>0</v>
      </c>
      <c r="AK18" s="873">
        <f t="shared" si="11"/>
        <v>0</v>
      </c>
      <c r="AL18" s="877">
        <f>IF(ISNUMBER(NºAsuntos!G18/NºAsuntos!E18),NºAsuntos!G18/NºAsuntos!E18," - ")</f>
        <v>1.0524308865586272</v>
      </c>
      <c r="AM18" s="877">
        <f>IF(ISNUMBER(((NºAsuntos!I18/NºAsuntos!G18)*11)/factor_trimestre),((NºAsuntos!I18/NºAsuntos!G18)*11)/factor_trimestre," - ")</f>
        <v>3.3016304347826093</v>
      </c>
      <c r="AN18" s="878">
        <f>IF(ISNUMBER('Resol  Asuntos'!D18/NºAsuntos!G18),'Resol  Asuntos'!D18/NºAsuntos!G18," - ")</f>
        <v>0.10054347826086957</v>
      </c>
      <c r="AO18" s="879">
        <f>IF(ISNUMBER((NºAsuntos!C18+NºAsuntos!E18)/NºAsuntos!G18),(NºAsuntos!C18+NºAsuntos!E18)/NºAsuntos!G18," - ")</f>
        <v>2.0932971014492754</v>
      </c>
      <c r="AP18" s="880" t="str">
        <f t="shared" si="2"/>
        <v xml:space="preserve"> - </v>
      </c>
      <c r="AQ18" s="880">
        <f>IF(ISNUMBER((H18-W18+K18)/(F18)),(H18-W18+K18)/(F18)," - ")</f>
        <v>-0.94439692044482459</v>
      </c>
      <c r="AR18" s="881">
        <f>IF(ISNUMBER((Datos!P18-Datos!Q18)/(Datos!R18-Datos!P18+Datos!Q18)),(Datos!P18-Datos!Q18)/(Datos!R18-Datos!P18+Datos!Q18)," - ")</f>
        <v>0.16091954022988506</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6</v>
      </c>
      <c r="F19" s="823">
        <f t="shared" si="13"/>
        <v>1206</v>
      </c>
      <c r="G19" s="824">
        <f t="shared" si="13"/>
        <v>1299</v>
      </c>
      <c r="H19" s="823">
        <f t="shared" si="13"/>
        <v>0</v>
      </c>
      <c r="I19" s="825">
        <f t="shared" si="13"/>
        <v>0</v>
      </c>
      <c r="J19" s="825">
        <f t="shared" si="13"/>
        <v>0</v>
      </c>
      <c r="K19" s="884">
        <f t="shared" si="13"/>
        <v>0</v>
      </c>
      <c r="L19" s="825">
        <f t="shared" si="13"/>
        <v>266</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1114</v>
      </c>
      <c r="X19" s="824">
        <f t="shared" si="14"/>
        <v>285</v>
      </c>
      <c r="Y19" s="831">
        <f t="shared" si="14"/>
        <v>1399</v>
      </c>
      <c r="Z19" s="831">
        <f t="shared" si="14"/>
        <v>0</v>
      </c>
      <c r="AA19" s="831">
        <f t="shared" si="14"/>
        <v>1252</v>
      </c>
      <c r="AB19" s="831">
        <f t="shared" si="14"/>
        <v>3021</v>
      </c>
      <c r="AC19" s="831">
        <f t="shared" si="14"/>
        <v>1359</v>
      </c>
      <c r="AD19" s="831">
        <f t="shared" si="14"/>
        <v>0</v>
      </c>
      <c r="AE19" s="833">
        <f t="shared" si="14"/>
        <v>0</v>
      </c>
      <c r="AF19" s="834">
        <f t="shared" si="14"/>
        <v>0</v>
      </c>
      <c r="AG19" s="835">
        <f t="shared" si="14"/>
        <v>0</v>
      </c>
      <c r="AH19" s="833">
        <f t="shared" si="14"/>
        <v>0</v>
      </c>
      <c r="AI19" s="823">
        <f t="shared" si="14"/>
        <v>331</v>
      </c>
      <c r="AJ19" s="823">
        <f t="shared" si="14"/>
        <v>0</v>
      </c>
      <c r="AK19" s="833">
        <f t="shared" si="14"/>
        <v>0</v>
      </c>
      <c r="AL19" s="887">
        <f>IF(ISNUMBER(NºAsuntos!G19/NºAsuntos!E19),NºAsuntos!G19/NºAsuntos!E19," - ")</f>
        <v>1.0723542116630669</v>
      </c>
      <c r="AM19" s="888">
        <f>IF(ISNUMBER(((NºAsuntos!I19/NºAsuntos!G19)*11)/factor_trimestre),((NºAsuntos!I19/NºAsuntos!G19)*11)/factor_trimestre," - ")</f>
        <v>5.9229607250755283</v>
      </c>
      <c r="AN19" s="888">
        <f>IF(ISNUMBER('Resol  Asuntos'!D19/NºAsuntos!G19),'Resol  Asuntos'!D19/NºAsuntos!G19," - ")</f>
        <v>0.16666666666666666</v>
      </c>
      <c r="AO19" s="889">
        <f>IF(ISNUMBER((NºAsuntos!C19+NºAsuntos!E19)/NºAsuntos!G19),(NºAsuntos!C19+NºAsuntos!E19)/NºAsuntos!G19," - ")</f>
        <v>2.9702920443101712</v>
      </c>
      <c r="AP19" s="890" t="str">
        <f t="shared" si="2"/>
        <v xml:space="preserve"> - </v>
      </c>
      <c r="AQ19" s="891">
        <f>IF(OR(ISNUMBER(FIND("01",Criterios!A8,1)),ISNUMBER(FIND("02",Criterios!A8,1)),ISNUMBER(FIND("03",Criterios!A8,1)),ISNUMBER(FIND("04",Criterios!A8,1))),(I19-W19+K19)/(F19-K19),(H19-W19+K19)/(F19-K19))</f>
        <v>-0.92371475953565507</v>
      </c>
      <c r="AR19" s="892">
        <f>IF(ISNUMBER((Datos!P19-Datos!Q19)/(Datos!R19-Datos!P19+Datos!Q19)),(Datos!P19-Datos!Q19)/(Datos!R19-Datos!P19+Datos!Q19)," - ")</f>
        <v>-6.2500000000000003E-3</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267</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519.6</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268</v>
      </c>
      <c r="D21" s="344"/>
      <c r="E21" s="286">
        <f>IF(ISNUMBER(STDEV(E8:E18)),STDEV(E8:E18),"-")</f>
        <v>1.5811388300841898</v>
      </c>
      <c r="F21" s="255">
        <f>IF(ISNUMBER(STDEV(F8:F18)),STDEV(F8:F18),"-")</f>
        <v>653.56050472265633</v>
      </c>
      <c r="G21" s="256">
        <f>IF(ISNUMBER(STDEV(G8:G18)),STDEV(G8:G18),"-")</f>
        <v>633.16332805998798</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540.49865864773426</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91.567825499280403</v>
      </c>
      <c r="AJ21" s="255">
        <f t="shared" si="18"/>
        <v>0</v>
      </c>
      <c r="AK21" s="257">
        <f t="shared" si="18"/>
        <v>0</v>
      </c>
      <c r="AL21" s="252">
        <f t="shared" si="18"/>
        <v>3.6808107203146548E-2</v>
      </c>
      <c r="AM21" s="253">
        <f t="shared" si="18"/>
        <v>3.8878570130241732</v>
      </c>
      <c r="AN21" s="253">
        <f t="shared" si="18"/>
        <v>0.22912621422536328</v>
      </c>
      <c r="AO21" s="254">
        <f t="shared" si="18"/>
        <v>1.2983294651543638</v>
      </c>
      <c r="AP21" s="294" t="str">
        <f t="shared" si="18"/>
        <v>-</v>
      </c>
      <c r="AQ21" s="295">
        <f t="shared" si="18"/>
        <v>0.47667952571699906</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428</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265</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266</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07 mar. 2024</v>
      </c>
      <c r="D30" s="120"/>
    </row>
    <row r="32" spans="1:65">
      <c r="C32" s="1"/>
      <c r="D32" s="1"/>
    </row>
  </sheetData>
  <sheetProtection algorithmName="SHA-512" hashValue="ijuXtjhL564ThJ9LyKacaomlgtieSO2quedK4iG0grDpU4BXqKiC+/VaAHeUPA35kVM6p52g1wLqotHTMlsDvQ==" saltValue="CXDD+X9ErwKQcl9iiUlX/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1234" priority="249" stopIfTrue="1" operator="notBetween">
      <formula>$E$25</formula>
      <formula>$E$26</formula>
    </cfRule>
  </conditionalFormatting>
  <conditionalFormatting sqref="F15:F17 F9:F12">
    <cfRule type="cellIs" dxfId="1233" priority="322" stopIfTrue="1" operator="notBetween">
      <formula>$F$25</formula>
      <formula>$F$26</formula>
    </cfRule>
  </conditionalFormatting>
  <conditionalFormatting sqref="F9:G9 F10:F12 F15:F17">
    <cfRule type="expression" dxfId="1232" priority="303" stopIfTrue="1">
      <formula>IF(F9&lt;&gt;G9,TRUE,FALSE)</formula>
    </cfRule>
  </conditionalFormatting>
  <conditionalFormatting sqref="G10:G12 G15:G17">
    <cfRule type="cellIs" dxfId="1231" priority="305" stopIfTrue="1" operator="between">
      <formula>$G$25</formula>
      <formula>$G$26</formula>
    </cfRule>
  </conditionalFormatting>
  <conditionalFormatting sqref="H11">
    <cfRule type="cellIs" dxfId="1230" priority="72" stopIfTrue="1" operator="greaterThan">
      <formula>$BG$11</formula>
    </cfRule>
    <cfRule type="cellIs" dxfId="1229" priority="73" stopIfTrue="1" operator="lessThan">
      <formula>$BF$11</formula>
    </cfRule>
  </conditionalFormatting>
  <conditionalFormatting sqref="H12">
    <cfRule type="cellIs" dxfId="1228" priority="70" stopIfTrue="1" operator="greaterThan">
      <formula>$BG$12</formula>
    </cfRule>
    <cfRule type="cellIs" dxfId="1227" priority="71" stopIfTrue="1" operator="lessThan">
      <formula>$BF$12</formula>
    </cfRule>
  </conditionalFormatting>
  <conditionalFormatting sqref="L15:L17 L9:L12">
    <cfRule type="cellIs" dxfId="1226" priority="1343" stopIfTrue="1" operator="notBetween">
      <formula>$L$25</formula>
      <formula>$L$26</formula>
    </cfRule>
  </conditionalFormatting>
  <conditionalFormatting sqref="M15:M17 M9:M12">
    <cfRule type="cellIs" dxfId="1225" priority="1344" stopIfTrue="1" operator="notBetween">
      <formula>$M$25</formula>
      <formula>$M$26</formula>
    </cfRule>
  </conditionalFormatting>
  <conditionalFormatting sqref="N9">
    <cfRule type="cellIs" dxfId="1224" priority="1265" stopIfTrue="1" operator="greaterThan">
      <formula>$BM$9</formula>
    </cfRule>
    <cfRule type="cellIs" dxfId="1223" priority="1266" stopIfTrue="1" operator="lessThan">
      <formula>$BL$9</formula>
    </cfRule>
  </conditionalFormatting>
  <conditionalFormatting sqref="N10">
    <cfRule type="cellIs" dxfId="1222" priority="1269" stopIfTrue="1" operator="greaterThan">
      <formula>$BM$10</formula>
    </cfRule>
    <cfRule type="cellIs" dxfId="1221" priority="1270" stopIfTrue="1" operator="lessThan">
      <formula>$BL$10</formula>
    </cfRule>
  </conditionalFormatting>
  <conditionalFormatting sqref="N11">
    <cfRule type="cellIs" dxfId="1220" priority="1273" stopIfTrue="1" operator="greaterThan">
      <formula>$BM$11</formula>
    </cfRule>
    <cfRule type="cellIs" dxfId="1219" priority="1274" stopIfTrue="1" operator="lessThan">
      <formula>$BL$11</formula>
    </cfRule>
  </conditionalFormatting>
  <conditionalFormatting sqref="N11:N12">
    <cfRule type="cellIs" dxfId="1218" priority="111" stopIfTrue="1" operator="greaterThan">
      <formula>$BM$9</formula>
    </cfRule>
    <cfRule type="cellIs" dxfId="1217" priority="112" stopIfTrue="1" operator="lessThan">
      <formula>$BL$9</formula>
    </cfRule>
  </conditionalFormatting>
  <conditionalFormatting sqref="N12">
    <cfRule type="cellIs" dxfId="1216" priority="769" stopIfTrue="1" operator="greaterThan">
      <formula>$BG$12</formula>
    </cfRule>
    <cfRule type="cellIs" dxfId="1215" priority="770" stopIfTrue="1" operator="lessThan">
      <formula>$BF$12</formula>
    </cfRule>
  </conditionalFormatting>
  <conditionalFormatting sqref="N15">
    <cfRule type="cellIs" dxfId="1214" priority="1289" stopIfTrue="1" operator="greaterThan">
      <formula>$BM$15</formula>
    </cfRule>
    <cfRule type="cellIs" dxfId="1213" priority="1290" stopIfTrue="1" operator="lessThan">
      <formula>$BL$15</formula>
    </cfRule>
  </conditionalFormatting>
  <conditionalFormatting sqref="N16">
    <cfRule type="cellIs" dxfId="1212" priority="785" stopIfTrue="1" operator="greaterThan">
      <formula>$BG$16</formula>
    </cfRule>
    <cfRule type="cellIs" dxfId="1211" priority="786" stopIfTrue="1" operator="lessThan">
      <formula>$BF$16</formula>
    </cfRule>
  </conditionalFormatting>
  <conditionalFormatting sqref="N17">
    <cfRule type="cellIs" dxfId="1210" priority="155" stopIfTrue="1" operator="greaterThan">
      <formula>$BM$17</formula>
    </cfRule>
    <cfRule type="cellIs" dxfId="1209" priority="156" stopIfTrue="1" operator="lessThan">
      <formula>$BL$17</formula>
    </cfRule>
  </conditionalFormatting>
  <conditionalFormatting sqref="N17">
    <cfRule type="cellIs" dxfId="1208" priority="127" stopIfTrue="1" operator="greaterThan">
      <formula>$BM$15</formula>
    </cfRule>
    <cfRule type="cellIs" dxfId="1207" priority="128" stopIfTrue="1" operator="lessThan">
      <formula>$BL$15</formula>
    </cfRule>
  </conditionalFormatting>
  <conditionalFormatting sqref="O10">
    <cfRule type="expression" dxfId="1206" priority="82" stopIfTrue="1">
      <formula>$O$12&lt;$BL$12</formula>
    </cfRule>
    <cfRule type="expression" dxfId="1205" priority="83" stopIfTrue="1">
      <formula>$O$12&gt;$BM$12</formula>
    </cfRule>
  </conditionalFormatting>
  <conditionalFormatting sqref="O12">
    <cfRule type="expression" dxfId="1204" priority="1721" stopIfTrue="1">
      <formula>$O$12&lt;$BL$12</formula>
    </cfRule>
    <cfRule type="expression" dxfId="1203" priority="1722" stopIfTrue="1">
      <formula>$O$12&gt;$BM$12</formula>
    </cfRule>
  </conditionalFormatting>
  <conditionalFormatting sqref="O16:O17">
    <cfRule type="cellIs" dxfId="1202" priority="80" stopIfTrue="1" operator="lessThan">
      <formula>$BL$16</formula>
    </cfRule>
    <cfRule type="cellIs" dxfId="1201" priority="81" stopIfTrue="1" operator="greaterThan">
      <formula>$BM$16</formula>
    </cfRule>
  </conditionalFormatting>
  <conditionalFormatting sqref="P9:Q12">
    <cfRule type="cellIs" dxfId="1200" priority="110" stopIfTrue="1" operator="notBetween">
      <formula>$Q$25</formula>
      <formula>$Q$26</formula>
    </cfRule>
  </conditionalFormatting>
  <conditionalFormatting sqref="P15:Q17">
    <cfRule type="cellIs" dxfId="1199" priority="108" stopIfTrue="1" operator="notBetween">
      <formula>$Q$25</formula>
      <formula>$Q$26</formula>
    </cfRule>
  </conditionalFormatting>
  <conditionalFormatting sqref="R15:R17 R9:R12">
    <cfRule type="cellIs" dxfId="1198" priority="1346" stopIfTrue="1" operator="notBetween">
      <formula>$R$25</formula>
      <formula>$R$26</formula>
    </cfRule>
  </conditionalFormatting>
  <conditionalFormatting sqref="S15:S17 S9:S12">
    <cfRule type="cellIs" dxfId="1197" priority="1347" stopIfTrue="1" operator="notBetween">
      <formula>$S$25</formula>
      <formula>$S$26</formula>
    </cfRule>
  </conditionalFormatting>
  <conditionalFormatting sqref="T15:T17 T9:T12">
    <cfRule type="cellIs" dxfId="1196" priority="1348" stopIfTrue="1" operator="notBetween">
      <formula>$T$25</formula>
      <formula>$T$26</formula>
    </cfRule>
  </conditionalFormatting>
  <conditionalFormatting sqref="V15:V17 V9:V12">
    <cfRule type="cellIs" dxfId="1195" priority="85" stopIfTrue="1" operator="notBetween">
      <formula>$V$25</formula>
      <formula>$V$26</formula>
    </cfRule>
  </conditionalFormatting>
  <conditionalFormatting sqref="W15:W17 W9:W12">
    <cfRule type="cellIs" dxfId="1194" priority="307" stopIfTrue="1" operator="notBetween">
      <formula>$W$25</formula>
      <formula>$W$26</formula>
    </cfRule>
  </conditionalFormatting>
  <conditionalFormatting sqref="X15:X17 X9:X12">
    <cfRule type="cellIs" dxfId="1193" priority="1350" stopIfTrue="1" operator="notBetween">
      <formula>$X$25</formula>
      <formula>$X$26</formula>
    </cfRule>
  </conditionalFormatting>
  <conditionalFormatting sqref="Y15:Y17 Y9:Y12">
    <cfRule type="cellIs" dxfId="1192" priority="1351" stopIfTrue="1" operator="notBetween">
      <formula>$Y$25</formula>
      <formula>$Y$26</formula>
    </cfRule>
  </conditionalFormatting>
  <conditionalFormatting sqref="Z15:Z17 Z9:Z12">
    <cfRule type="cellIs" dxfId="1191" priority="1358" stopIfTrue="1" operator="notBetween">
      <formula>$Z$25</formula>
      <formula>$Z$26</formula>
    </cfRule>
  </conditionalFormatting>
  <conditionalFormatting sqref="AA15:AA17 AA9:AA12">
    <cfRule type="cellIs" dxfId="1190" priority="1359" stopIfTrue="1" operator="notBetween">
      <formula>$AA$25</formula>
      <formula>$AA$26</formula>
    </cfRule>
  </conditionalFormatting>
  <conditionalFormatting sqref="AB15:AB17 AB9:AB12">
    <cfRule type="cellIs" dxfId="1189" priority="1352" stopIfTrue="1" operator="notBetween">
      <formula>$AB$25</formula>
      <formula>$AB$26</formula>
    </cfRule>
  </conditionalFormatting>
  <conditionalFormatting sqref="AC15:AC17 AC9:AC12">
    <cfRule type="cellIs" dxfId="1188" priority="1360" stopIfTrue="1" operator="notBetween">
      <formula>$AC$25</formula>
      <formula>$AC$26</formula>
    </cfRule>
  </conditionalFormatting>
  <conditionalFormatting sqref="AD15:AD17 AD9:AD12">
    <cfRule type="cellIs" dxfId="1187" priority="1353" stopIfTrue="1" operator="notBetween">
      <formula>$AD$25</formula>
      <formula>$AD$26</formula>
    </cfRule>
  </conditionalFormatting>
  <conditionalFormatting sqref="AE15:AE17 AE9:AE12">
    <cfRule type="cellIs" dxfId="1186" priority="311" stopIfTrue="1" operator="notBetween">
      <formula>$AE$25</formula>
      <formula>$AE$26</formula>
    </cfRule>
  </conditionalFormatting>
  <conditionalFormatting sqref="AF15:AF17 AF9:AF12">
    <cfRule type="cellIs" dxfId="1185" priority="308" stopIfTrue="1" operator="notBetween">
      <formula>$AF$25</formula>
      <formula>$AF$26</formula>
    </cfRule>
  </conditionalFormatting>
  <conditionalFormatting sqref="AG15:AG17 AG9:AG12">
    <cfRule type="cellIs" dxfId="1184" priority="1719" stopIfTrue="1" operator="notBetween">
      <formula>$AG$25</formula>
      <formula>$AG$26</formula>
    </cfRule>
  </conditionalFormatting>
  <conditionalFormatting sqref="AH15:AH17 AH9:AH12">
    <cfRule type="cellIs" dxfId="1183" priority="1354" stopIfTrue="1" operator="notBetween">
      <formula>$AH$25</formula>
      <formula>$AH$26</formula>
    </cfRule>
  </conditionalFormatting>
  <conditionalFormatting sqref="AI15:AI17 AI9:AI12">
    <cfRule type="cellIs" dxfId="1182" priority="310" stopIfTrue="1" operator="notBetween">
      <formula>$AI$25</formula>
      <formula>$AI$26</formula>
    </cfRule>
  </conditionalFormatting>
  <conditionalFormatting sqref="AJ15:AJ17 AJ9:AJ12">
    <cfRule type="cellIs" dxfId="1181" priority="312" stopIfTrue="1" operator="notBetween">
      <formula>$AJ$25</formula>
      <formula>$AJ$26</formula>
    </cfRule>
  </conditionalFormatting>
  <conditionalFormatting sqref="AK15:AK17 AK9:AK12">
    <cfRule type="cellIs" dxfId="1180" priority="1355" stopIfTrue="1" operator="notBetween">
      <formula>$AK$25</formula>
      <formula>$AK$26</formula>
    </cfRule>
  </conditionalFormatting>
  <conditionalFormatting sqref="AL15:AL17 AL9:AL12">
    <cfRule type="cellIs" dxfId="1179" priority="314" stopIfTrue="1" operator="notBetween">
      <formula>$AL$25</formula>
      <formula>$AL$26</formula>
    </cfRule>
  </conditionalFormatting>
  <conditionalFormatting sqref="AM15:AM17 AM9:AM12">
    <cfRule type="cellIs" dxfId="1178" priority="318" stopIfTrue="1" operator="notBetween">
      <formula>$AM$25</formula>
      <formula>$AM$26</formula>
    </cfRule>
  </conditionalFormatting>
  <conditionalFormatting sqref="AN15:AN17 AN9:AN12">
    <cfRule type="cellIs" dxfId="1177" priority="319" stopIfTrue="1" operator="notBetween">
      <formula>$AN$25</formula>
      <formula>$AN$26</formula>
    </cfRule>
  </conditionalFormatting>
  <conditionalFormatting sqref="AO15:AO17 AO9:AO12">
    <cfRule type="cellIs" dxfId="1176" priority="320" stopIfTrue="1" operator="notBetween">
      <formula>$AO$25</formula>
      <formula>$AO$26</formula>
    </cfRule>
  </conditionalFormatting>
  <conditionalFormatting sqref="AP15:AP17 AP9:AP12">
    <cfRule type="cellIs" dxfId="1175" priority="254" stopIfTrue="1" operator="notBetween">
      <formula>$AP$25</formula>
      <formula>$AP$26</formula>
    </cfRule>
  </conditionalFormatting>
  <conditionalFormatting sqref="AQ15:AQ17 AQ9:AQ12">
    <cfRule type="cellIs" dxfId="1174" priority="251" stopIfTrue="1" operator="notBetween">
      <formula>$AQ$25</formula>
      <formula>$AQ$26</formula>
    </cfRule>
  </conditionalFormatting>
  <conditionalFormatting sqref="AR15:AR17 AR9:AR12">
    <cfRule type="cellIs" dxfId="1173" priority="377" stopIfTrue="1" operator="notBetween">
      <formula>$AR$25</formula>
      <formula>$AR$26</formula>
    </cfRule>
  </conditionalFormatting>
  <conditionalFormatting sqref="AS15:AS17 AS9:AS12">
    <cfRule type="cellIs" dxfId="1172" priority="250" stopIfTrue="1" operator="notBetween">
      <formula>$AS$25</formula>
      <formula>$AS$26</formula>
    </cfRule>
  </conditionalFormatting>
  <conditionalFormatting sqref="AT15:AT17 AT9:AT12">
    <cfRule type="cellIs" dxfId="1171" priority="1356" stopIfTrue="1" operator="notBetween">
      <formula>$AT$25</formula>
      <formula>$AT$26</formula>
    </cfRule>
  </conditionalFormatting>
  <conditionalFormatting sqref="AU15:AU17 AU9:AU12">
    <cfRule type="cellIs" dxfId="1170" priority="1357" stopIfTrue="1" operator="notBetween">
      <formula>$AU$25</formula>
      <formula>$AU$26</formula>
    </cfRule>
  </conditionalFormatting>
  <conditionalFormatting sqref="AV15:AW17 AV9:AW12">
    <cfRule type="cellIs" dxfId="1169" priority="1" stopIfTrue="1" operator="notBetween">
      <formula>$AV$25</formula>
      <formula>$AV$26</formula>
    </cfRule>
  </conditionalFormatting>
  <conditionalFormatting sqref="BF8:BM8 BF13:BM14 BF18:BM19">
    <cfRule type="cellIs" dxfId="1168" priority="759" stopIfTrue="1" operator="equal">
      <formula>$A$31</formula>
    </cfRule>
  </conditionalFormatting>
  <conditionalFormatting sqref="BF15:BM17 BF9:BM12">
    <cfRule type="cellIs" dxfId="1167" priority="758" stopIfTrue="1" operator="equal">
      <formula>$A$31</formula>
    </cfRule>
  </conditionalFormatting>
  <conditionalFormatting sqref="N10">
    <cfRule type="cellIs" dxfId="1166" priority="3269" stopIfTrue="1" operator="greaterThan">
      <formula>#REF!</formula>
    </cfRule>
    <cfRule type="cellIs" dxfId="1165" priority="3270"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ANDALUCIA</v>
      </c>
      <c r="E2" s="266"/>
    </row>
    <row r="3" spans="2:20" ht="17.25" customHeight="1">
      <c r="C3" s="270"/>
      <c r="D3" s="265" t="str">
        <f>Criterios!A10 &amp;"  "&amp;Criterios!B10</f>
        <v>Provincias  SEVILLA</v>
      </c>
      <c r="E3" s="266"/>
    </row>
    <row r="4" spans="2:20" ht="17.25" customHeight="1" thickBot="1">
      <c r="D4" s="265" t="str">
        <f>Criterios!A11 &amp;"  "&amp;Criterios!B11</f>
        <v>Resumenes por Partidos Judiciales  CARMONA</v>
      </c>
      <c r="E4" s="266"/>
    </row>
    <row r="5" spans="2:20" ht="12.75" customHeight="1">
      <c r="B5" s="275"/>
      <c r="C5" s="1257" t="str">
        <f>"Año:  " &amp;Criterios!B5 &amp; "          Trimestre   " &amp;Criterios!D5 &amp; " al " &amp;Criterios!D6</f>
        <v>Año:  2023          Trimestre   4 al 4</v>
      </c>
      <c r="D5" s="1277" t="s">
        <v>128</v>
      </c>
      <c r="E5" s="1308" t="s">
        <v>13</v>
      </c>
      <c r="F5" s="1305" t="s">
        <v>9</v>
      </c>
      <c r="G5" s="1302" t="s">
        <v>129</v>
      </c>
      <c r="H5" s="1299" t="s">
        <v>7</v>
      </c>
      <c r="I5" s="1274" t="s">
        <v>120</v>
      </c>
      <c r="J5" s="1251" t="s">
        <v>121</v>
      </c>
      <c r="K5" s="1268" t="s">
        <v>122</v>
      </c>
      <c r="M5" s="165"/>
      <c r="N5" s="173" t="s">
        <v>280</v>
      </c>
      <c r="O5" s="165"/>
      <c r="P5" s="165"/>
      <c r="Q5" s="174" t="s">
        <v>281</v>
      </c>
      <c r="R5" s="174"/>
      <c r="S5" s="172"/>
      <c r="T5" s="172"/>
    </row>
    <row r="6" spans="2:20" ht="12.75" customHeight="1">
      <c r="B6" s="276"/>
      <c r="C6" s="1258"/>
      <c r="D6" s="1278"/>
      <c r="E6" s="1309"/>
      <c r="F6" s="1306"/>
      <c r="G6" s="1303"/>
      <c r="H6" s="1300"/>
      <c r="I6" s="1275"/>
      <c r="J6" s="1252"/>
      <c r="K6" s="1269"/>
      <c r="M6" s="1313" t="s">
        <v>296</v>
      </c>
      <c r="N6" s="1313" t="s">
        <v>277</v>
      </c>
      <c r="O6" s="1313" t="s">
        <v>278</v>
      </c>
      <c r="P6" s="1313" t="s">
        <v>279</v>
      </c>
      <c r="Q6" s="1313" t="s">
        <v>296</v>
      </c>
      <c r="R6" s="1313" t="s">
        <v>277</v>
      </c>
      <c r="S6" s="1313" t="s">
        <v>278</v>
      </c>
      <c r="T6" s="1313" t="s">
        <v>279</v>
      </c>
    </row>
    <row r="7" spans="2:20" ht="23.25" customHeight="1" thickBot="1">
      <c r="B7" s="277"/>
      <c r="C7" s="267" t="str">
        <f>Datos!A7</f>
        <v>COMPETENCIAS</v>
      </c>
      <c r="D7" s="1311"/>
      <c r="E7" s="1310"/>
      <c r="F7" s="1307"/>
      <c r="G7" s="1304"/>
      <c r="H7" s="1301"/>
      <c r="I7" s="1312"/>
      <c r="J7" s="1296"/>
      <c r="K7" s="1297"/>
      <c r="M7" s="1313"/>
      <c r="N7" s="1313"/>
      <c r="O7" s="1313"/>
      <c r="P7" s="1313"/>
      <c r="Q7" s="1313"/>
      <c r="R7" s="1313"/>
      <c r="S7" s="1313"/>
      <c r="T7" s="1313"/>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249</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249</v>
      </c>
      <c r="C10" s="7" t="str">
        <f>Datos!A10</f>
        <v>Jdos. Violencia contra la mujer</v>
      </c>
      <c r="D10" s="355">
        <f>IF(ISNUMBER((Datos!I10-Datos!S10)/Datos!S10),(Datos!I10-Datos!S10)/Datos!S10," - ")</f>
        <v>0.68181818181818177</v>
      </c>
      <c r="E10" s="351">
        <f>IF(ISNUMBER((Datos!J10-Datos!T10)/Datos!T10),(Datos!J10-Datos!T10)/Datos!T10," - ")</f>
        <v>-0.23076923076923078</v>
      </c>
      <c r="F10" s="351">
        <f>IF(ISNUMBER((Datos!K10-Datos!U10)/Datos!U10),(Datos!K10-Datos!U10)/Datos!U10," - ")</f>
        <v>0</v>
      </c>
      <c r="G10" s="352">
        <f>IF(ISNUMBER((Datos!L10-Datos!V10)/Datos!V10),(Datos!L10-Datos!V10)/Datos!V10," - ")</f>
        <v>0.48</v>
      </c>
      <c r="H10" s="233">
        <f>IF(ISNUMBER((Datos!M10-Datos!W10)/Datos!W10),(Datos!M10-Datos!W10)/Datos!W10," - ")</f>
        <v>0.4</v>
      </c>
      <c r="I10" s="353">
        <f>IF(ISNUMBER((Tasas!C10-Datos!BE10)/Datos!BE10),(Tasas!C10-Datos!BE10)/Datos!BE10," - ")</f>
        <v>0.48000000000000009</v>
      </c>
      <c r="J10" s="352">
        <f>IF(ISNUMBER((Tasas!D10-Datos!BF10)/Datos!BF10),(Tasas!D10-Datos!BF10)/Datos!BF10," - ")</f>
        <v>0.39999999999999991</v>
      </c>
      <c r="K10" s="354">
        <f>IF(ISNUMBER((Tasas!E10-Datos!BG10)/Datos!BG10),(Tasas!E10-Datos!BG10)/Datos!BG10," - ")</f>
        <v>0.34285714285714292</v>
      </c>
    </row>
    <row r="11" spans="2:20" ht="14.25">
      <c r="B11" s="278" t="s">
        <v>249</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249</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0.25294117647058822</v>
      </c>
      <c r="I12" s="353">
        <f>IF(ISNUMBER((Tasas!C12-Datos!BE12)/Datos!BE12),(Tasas!C12-Datos!BE12)/Datos!BE12," - ")</f>
        <v>0.11191922718389308</v>
      </c>
      <c r="J12" s="352">
        <f>IF(ISNUMBER((Tasas!D12-Datos!BF12)/Datos!BF12),(Tasas!D12-Datos!BF12)/Datos!BF12," - ")</f>
        <v>-0.42298375772327279</v>
      </c>
      <c r="K12" s="354">
        <f>IF(ISNUMBER((Tasas!E12-Datos!BG12)/Datos!BG12),(Tasas!E12-Datos!BG12)/Datos!BG12," - ")</f>
        <v>6.4331194478274387E-2</v>
      </c>
      <c r="M12" t="e">
        <f>IF(Monitorios="SI",Datos!CE12,0)</f>
        <v>#REF!</v>
      </c>
      <c r="N12" t="e">
        <f>IF(Monitorios="SI",Datos!CF12,0)</f>
        <v>#REF!</v>
      </c>
      <c r="O12" t="e">
        <f>IF(Monitorios="SI",Datos!CG12,0)</f>
        <v>#REF!</v>
      </c>
      <c r="P12" t="e">
        <f>IF(Monitorios="SI",Datos!CH12,0)</f>
        <v>#REF!</v>
      </c>
      <c r="Q12">
        <f>IF(J_V="SI",0,Datos!AG12)</f>
        <v>116</v>
      </c>
      <c r="R12">
        <f>IF(J_V="SI",0,Datos!AH12)</f>
        <v>38</v>
      </c>
      <c r="S12">
        <f>IF(J_V="SI",0,Datos!AI12)</f>
        <v>57</v>
      </c>
      <c r="T12">
        <f>IF(J_V="SI",0,Datos!AJ12)</f>
        <v>67</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0.25714285714285712</v>
      </c>
      <c r="I13" s="360">
        <f>IF(ISNUMBER((Tasas!C13-Datos!BE13)/Datos!BE13),(Tasas!C13-Datos!BE13)/Datos!BE13," - ")</f>
        <v>0.11564625850340139</v>
      </c>
      <c r="J13" s="358">
        <f>IF(ISNUMBER((Tasas!D13-Datos!BF13)/Datos!BF13),(Tasas!D13-Datos!BF13)/Datos!BF13," - ")</f>
        <v>-0.41191589986120392</v>
      </c>
      <c r="K13" s="361">
        <f>IF(ISNUMBER((Tasas!E13-Datos!BG13)/Datos!BG13),(Tasas!E13-Datos!BG13)/Datos!BG13," - ")</f>
        <v>6.7173057563832669E-2</v>
      </c>
      <c r="M13" t="e">
        <f>IF(Monitorios="SI",Datos!CE13,0)</f>
        <v>#REF!</v>
      </c>
      <c r="N13" t="e">
        <f>IF(Monitorios="SI",Datos!CF13,0)</f>
        <v>#REF!</v>
      </c>
      <c r="O13" t="e">
        <f>IF(Monitorios="SI",Datos!CG13,0)</f>
        <v>#REF!</v>
      </c>
      <c r="P13" t="e">
        <f>IF(Monitorios="SI",Datos!CH13,0)</f>
        <v>#REF!</v>
      </c>
      <c r="Q13">
        <f>IF(J_V="SI",0,Datos!AG13)</f>
        <v>116</v>
      </c>
      <c r="R13">
        <f>IF(J_V="SI",0,Datos!AH13)</f>
        <v>38</v>
      </c>
      <c r="S13">
        <f>IF(J_V="SI",0,Datos!AI13)</f>
        <v>57</v>
      </c>
      <c r="T13">
        <f>IF(J_V="SI",0,Datos!AJ13)</f>
        <v>67</v>
      </c>
    </row>
    <row r="14" spans="2:20" ht="15" thickTop="1">
      <c r="B14" s="182"/>
      <c r="C14" s="70" t="str">
        <f>Datos!A14</f>
        <v xml:space="preserve">Jurisdicción Penal ( 2 ):                      </v>
      </c>
      <c r="D14" s="249"/>
      <c r="E14" s="250"/>
      <c r="F14" s="250"/>
      <c r="G14" s="250"/>
      <c r="H14" s="273"/>
      <c r="I14" s="250"/>
      <c r="J14" s="250"/>
      <c r="K14" s="291"/>
    </row>
    <row r="15" spans="2:20" ht="14.25">
      <c r="B15" s="278" t="s">
        <v>400</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400</v>
      </c>
      <c r="C16" s="7" t="str">
        <f>Datos!A16</f>
        <v xml:space="preserve">Jdos. 1ª Instª. e Instr.                        </v>
      </c>
      <c r="D16" s="355">
        <f>IF(ISNUMBER(
   IF(D_I="SI",(Datos!I16-Datos!S16)/Datos!S16,(Datos!I16+Datos!AC16-(Datos!S16+Datos!AK16))/(Datos!S16+Datos!AK16))
     ),IF(D_I="SI",(Datos!I16-Datos!S16)/Datos!S16,(Datos!I16+Datos!AC16-(Datos!S16+Datos!AK16))/(Datos!S16+Datos!AK16))," - ")</f>
        <v>6.9060773480662987E-2</v>
      </c>
      <c r="E16" s="351">
        <f>IF(ISNUMBER(
   IF(D_I="SI",(Datos!J16-Datos!T16)/Datos!T16,(Datos!J16+Datos!AD16-(Datos!T16+Datos!AL16))/(Datos!T16+Datos!AL16))
     ),IF(D_I="SI",(Datos!J16-Datos!T16)/Datos!T16,(Datos!J16+Datos!AD16-(Datos!T16+Datos!AL16))/(Datos!T16+Datos!AL16))," - ")</f>
        <v>9.8676293622142003E-2</v>
      </c>
      <c r="F16" s="351">
        <f>IF(ISNUMBER(
   IF(D_I="SI",(Datos!K16-Datos!U16)/Datos!U16,(Datos!K16+Datos!AE16-(Datos!U16+Datos!AM16))/(Datos!U16+Datos!AM16))
     ),IF(D_I="SI",(Datos!K16-Datos!U16)/Datos!U16,(Datos!K16+Datos!AE16-(Datos!U16+Datos!AM16))/(Datos!U16+Datos!AM16))," - ")</f>
        <v>0.21059268600252207</v>
      </c>
      <c r="G16" s="352">
        <f>IF(ISNUMBER(
   IF(D_I="SI",(Datos!L16-Datos!V16)/Datos!V16,(Datos!L16+Datos!AF16-(Datos!V16+Datos!AN16))/(Datos!V16+Datos!AN16))
     ),IF(D_I="SI",(Datos!L16-Datos!V16)/Datos!V16,(Datos!L16+Datos!AF16-(Datos!V16+Datos!AN16))/(Datos!V16+Datos!AN16))," - ")</f>
        <v>-1.7793594306049821E-3</v>
      </c>
      <c r="H16" s="233">
        <f>IF(ISNUMBER((Datos!M16-Datos!W16)/Datos!W16),(Datos!M16-Datos!W16)/Datos!W16," - ")</f>
        <v>6.9767441860465115E-2</v>
      </c>
      <c r="I16" s="353">
        <f>IF(ISNUMBER((Tasas!C16-Datos!BE16)/Datos!BE16),(Tasas!C16-Datos!BE16)/Datos!BE16," - ")</f>
        <v>-0.17542815836298936</v>
      </c>
      <c r="J16" s="352">
        <f>IF(ISNUMBER((Tasas!D16-Datos!BF16)/Datos!BF16),(Tasas!D16-Datos!BF16)/Datos!BF16," - ")</f>
        <v>-0.11632751937984494</v>
      </c>
      <c r="K16" s="354">
        <f>IF(ISNUMBER((Tasas!E16-Datos!BG16)/Datos!BG16),(Tasas!E16-Datos!BG16)/Datos!BG16," - ")</f>
        <v>-0.10630651191097192</v>
      </c>
    </row>
    <row r="17" spans="2:20" ht="15" thickBot="1">
      <c r="B17" s="278" t="s">
        <v>400</v>
      </c>
      <c r="C17" s="7" t="str">
        <f>Datos!A17</f>
        <v>Jdos. Violencia contra la mujer</v>
      </c>
      <c r="D17" s="355">
        <f>IF(ISNUMBER(
   IF(D_I="SI",(Datos!I17-Datos!S17)/Datos!S17,(Datos!I17+Datos!AC17-(Datos!S17+Datos!AK17))/(Datos!S17+Datos!AK17))
     ),IF(D_I="SI",(Datos!I17-Datos!S17)/Datos!S17,(Datos!I17+Datos!AC17-(Datos!S17+Datos!AK17))/(Datos!S17+Datos!AK17))," - ")</f>
        <v>0.65573770491803274</v>
      </c>
      <c r="E17" s="351">
        <f>IF(ISNUMBER(
   IF(D_I="SI",(Datos!J17-Datos!T17)/Datos!T17,(Datos!J17+Datos!AD17-(Datos!T17+Datos!AL17))/(Datos!T17+Datos!AL17))
     ),IF(D_I="SI",(Datos!J17-Datos!T17)/Datos!T17,(Datos!J17+Datos!AD17-(Datos!T17+Datos!AL17))/(Datos!T17+Datos!AL17))," - ")</f>
        <v>0.58139534883720934</v>
      </c>
      <c r="F17" s="351">
        <f>IF(ISNUMBER(
   IF(D_I="SI",(Datos!K17-Datos!U17)/Datos!U17,(Datos!K17+Datos!AE17-(Datos!U17+Datos!AM17))/(Datos!U17+Datos!AM17))
     ),IF(D_I="SI",(Datos!K17-Datos!U17)/Datos!U17,(Datos!K17+Datos!AE17-(Datos!U17+Datos!AM17))/(Datos!U17+Datos!AM17))," - ")</f>
        <v>0.6</v>
      </c>
      <c r="G17" s="352">
        <f>IF(ISNUMBER(
   IF(D_I="SI",(Datos!L17-Datos!V17)/Datos!V17,(Datos!L17+Datos!AF17-(Datos!V17+Datos!AN17))/(Datos!V17+Datos!AN17))
     ),IF(D_I="SI",(Datos!L17-Datos!V17)/Datos!V17,(Datos!L17+Datos!AF17-(Datos!V17+Datos!AN17))/(Datos!V17+Datos!AN17))," - ")</f>
        <v>0.63157894736842102</v>
      </c>
      <c r="H17" s="233">
        <f>IF(ISNUMBER((Datos!M17-Datos!W17)/Datos!W17),(Datos!M17-Datos!W17)/Datos!W17," - ")</f>
        <v>0.58333333333333337</v>
      </c>
      <c r="I17" s="353">
        <f>IF(ISNUMBER((Tasas!C17-Datos!BE17)/Datos!BE17),(Tasas!C17-Datos!BE17)/Datos!BE17," - ")</f>
        <v>1.9736842105263264E-2</v>
      </c>
      <c r="J17" s="352">
        <f>IF(ISNUMBER((Tasas!D17-Datos!BF17)/Datos!BF17),(Tasas!D17-Datos!BF17)/Datos!BF17," - ")</f>
        <v>-1.041666666666663E-2</v>
      </c>
      <c r="K17" s="354">
        <f>IF(ISNUMBER((Tasas!E17-Datos!BG17)/Datos!BG17),(Tasas!E17-Datos!BG17)/Datos!BG17," - ")</f>
        <v>7.6530612244897689E-3</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0.1002615518744551</v>
      </c>
      <c r="E18" s="357">
        <f>IF(ISNUMBER(
   IF(D_I="SI",(Datos!J18-Datos!T18)/Datos!T18,(Datos!J18+Datos!AD18-(Datos!T18+Datos!AL18))/(Datos!T18+Datos!AL18))
     ),IF(D_I="SI",(Datos!J18-Datos!T18)/Datos!T18,(Datos!J18+Datos!AD18-(Datos!T18+Datos!AL18))/(Datos!T18+Datos!AL18))," - ")</f>
        <v>0.14394765539803708</v>
      </c>
      <c r="F18" s="357">
        <f>IF(ISNUMBER(
   IF(D_I="SI",(Datos!K18-Datos!U18)/Datos!U18,(Datos!K18+Datos!AE18-(Datos!U18+Datos!AM18))/(Datos!U18+Datos!AM18))
     ),IF(D_I="SI",(Datos!K18-Datos!U18)/Datos!U18,(Datos!K18+Datos!AE18-(Datos!U18+Datos!AM18))/(Datos!U18+Datos!AM18))," - ")</f>
        <v>0.25028312570781425</v>
      </c>
      <c r="G18" s="358">
        <f>IF(ISNUMBER(
   IF(D_I="SI",(Datos!L18-Datos!V18)/Datos!V18,(Datos!L18+Datos!AF18-(Datos!V18+Datos!AN18))/(Datos!V18+Datos!AN18))
     ),IF(D_I="SI",(Datos!L18-Datos!V18)/Datos!V18,(Datos!L18+Datos!AF18-(Datos!V18+Datos!AN18))/(Datos!V18+Datos!AN18))," - ")</f>
        <v>2.8789161727349702E-2</v>
      </c>
      <c r="H18" s="359">
        <f>IF(ISNUMBER((Datos!M18-Datos!W18)/Datos!W18),(Datos!M18-Datos!W18)/Datos!W18," - ")</f>
        <v>0.1326530612244898</v>
      </c>
      <c r="I18" s="360">
        <f>IF(ISNUMBER((Tasas!C18-Datos!BE18)/Datos!BE18),(Tasas!C18-Datos!BE18)/Datos!BE18," - ")</f>
        <v>-0.17715504546625924</v>
      </c>
      <c r="J18" s="358">
        <f>IF(ISNUMBER((Tasas!D18-Datos!BF18)/Datos!BF18),(Tasas!D18-Datos!BF18)/Datos!BF18," - ")</f>
        <v>-9.4082741792369098E-2</v>
      </c>
      <c r="K18" s="361">
        <f>IF(ISNUMBER((Tasas!E18-Datos!BG18)/Datos!BG18),(Tasas!E18-Datos!BG18)/Datos!BG18," - ")</f>
        <v>-0.10446640475789237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4.7902641118591403E-2</v>
      </c>
      <c r="E19" s="366">
        <f>IF(ISNUMBER(
   IF(J_V="SI",(Datos!J19-Datos!T19)/Datos!T19,(Datos!J19+Datos!Z19-(Datos!T19+Datos!AH19))/(Datos!T19+Datos!AH19))
     ),IF(J_V="SI",(Datos!J19-Datos!T19)/Datos!T19,(Datos!J19+Datos!Z19-(Datos!T19+Datos!AH19))/(Datos!T19+Datos!AH19))," - ")</f>
        <v>4.632768361581921E-2</v>
      </c>
      <c r="F19" s="366">
        <f>IF(ISNUMBER(
   IF(J_V="SI",(Datos!K19-Datos!U19)/Datos!U19,(Datos!K19+Datos!AA19-(Datos!U19+Datos!AI19))/(Datos!U19+Datos!AI19))
     ),IF(J_V="SI",(Datos!K19-Datos!U19)/Datos!U19,(Datos!K19+Datos!AA19-(Datos!U19+Datos!AI19))/(Datos!U19+Datos!AI19))," - ")</f>
        <v>9.1808686091258931E-2</v>
      </c>
      <c r="G19" s="367">
        <f>IF(ISNUMBER(
   IF(J_V="SI",(Datos!L19-Datos!V19)/Datos!V19,(Datos!L19+Datos!AB19-(Datos!V19+Datos!AJ19))/(Datos!V19+Datos!AJ19))
     ),IF(J_V="SI",(Datos!L19-Datos!V19)/Datos!V19,(Datos!L19+Datos!AB19-(Datos!V19+Datos!AJ19))/(Datos!V19+Datos!AJ19))," - ")</f>
        <v>4.4207723035952065E-2</v>
      </c>
      <c r="H19" s="368">
        <f>IF(ISNUMBER((Datos!M19-Datos!W19)/Datos!W19),(Datos!M19-Datos!W19)/Datos!W19," - ")</f>
        <v>0.21245421245421245</v>
      </c>
      <c r="I19" s="365">
        <f>IF(ISNUMBER((Tasas!C19-Datos!BE19)/Datos!BE19),(Tasas!C19-Datos!BE19)/Datos!BE19," - ")</f>
        <v>-4.3598263745016658E-2</v>
      </c>
      <c r="J19" s="366">
        <f>IF(ISNUMBER((Tasas!D19-Datos!BF19)/Datos!BF19),(Tasas!D19-Datos!BF19)/Datos!BF19," - ")</f>
        <v>-0.38754208754208758</v>
      </c>
      <c r="K19" s="367">
        <f>IF(ISNUMBER((Tasas!E19-Datos!BG19)/Datos!BG19),(Tasas!E19-Datos!BG19)/Datos!BG19," - ")</f>
        <v>-4.0667395490020977E-2</v>
      </c>
    </row>
    <row r="20" spans="2:20" ht="15.75" customHeight="1" thickTop="1" thickBot="1">
      <c r="B20" s="170"/>
      <c r="C20" s="815" t="s">
        <v>267</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268</v>
      </c>
      <c r="D21" s="280">
        <f t="shared" ref="D21:K21" si="1">IF(ISNUMBER( STDEV(D8:D18)),STDEV(D8:D18)," - ")</f>
        <v>0.33764836413451832</v>
      </c>
      <c r="E21" s="281">
        <f t="shared" si="1"/>
        <v>0.3335398613918743</v>
      </c>
      <c r="F21" s="281">
        <f t="shared" si="1"/>
        <v>0.24874789811092821</v>
      </c>
      <c r="G21" s="282">
        <f t="shared" si="1"/>
        <v>0.31938892878742065</v>
      </c>
      <c r="H21" s="288">
        <f t="shared" si="1"/>
        <v>0.18629695785781475</v>
      </c>
      <c r="I21" s="280">
        <f t="shared" si="1"/>
        <v>0.24308272612111886</v>
      </c>
      <c r="J21" s="281">
        <f t="shared" si="1"/>
        <v>0.30312348519935522</v>
      </c>
      <c r="K21" s="282">
        <f t="shared" si="1"/>
        <v>0.16505309493805537</v>
      </c>
    </row>
    <row r="22" spans="2:20" ht="13.5" thickTop="1">
      <c r="C22" s="1298"/>
      <c r="D22" s="1298"/>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265</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266</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07 mar.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B33/8X5VYgCM4QZvI3ofoe24WQhBzx+RYET37k4jTMjRfNca0UWHkWgGEHwIFTxNCJlw0JLOl9Ws4o3LRKM5tg==" saltValue="NvW+GIc/5lui3cSebYVB9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topLeftCell="A38"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358</v>
      </c>
      <c r="E3" s="497"/>
    </row>
    <row r="4" spans="1:31" s="474" customFormat="1" ht="15.75" thickBot="1">
      <c r="A4" s="1088" t="s">
        <v>363</v>
      </c>
      <c r="B4" s="1099" t="str">
        <f>Criterios!B9</f>
        <v>ANDALUCIA</v>
      </c>
      <c r="C4" s="1089"/>
      <c r="D4" s="1089"/>
      <c r="E4" s="1090"/>
      <c r="F4" s="1089"/>
      <c r="G4" s="546"/>
      <c r="H4" s="1340" t="s">
        <v>364</v>
      </c>
      <c r="I4" s="1341"/>
      <c r="J4" s="1341"/>
      <c r="K4" s="1341"/>
      <c r="L4" s="1341"/>
      <c r="M4" s="1091"/>
      <c r="N4" s="1340" t="s">
        <v>365</v>
      </c>
      <c r="O4" s="1341"/>
      <c r="P4" s="1341"/>
      <c r="Q4" s="1341"/>
      <c r="R4" s="1341"/>
      <c r="S4" s="1341"/>
      <c r="T4" s="1341"/>
      <c r="U4" s="1341"/>
      <c r="V4" s="1341"/>
      <c r="W4" s="1341"/>
      <c r="X4" s="1341"/>
      <c r="Y4" s="1341"/>
      <c r="Z4" s="1341"/>
      <c r="AA4" s="1341"/>
      <c r="AB4" s="1341"/>
      <c r="AC4" s="1341"/>
      <c r="AD4" s="1342"/>
    </row>
    <row r="5" spans="1:31" s="474" customFormat="1" ht="15.75" customHeight="1">
      <c r="A5" s="1324" t="s">
        <v>354</v>
      </c>
      <c r="B5" s="1326" t="str">
        <f>"Año:  " &amp;Criterios!B5 &amp; "      Trimestre   " &amp;Criterios!D5 &amp; " al " &amp;Criterios!D6</f>
        <v>Año:  2023      Trimestre   4 al 4</v>
      </c>
      <c r="C5" s="1314" t="s">
        <v>264</v>
      </c>
      <c r="D5" s="1316" t="s">
        <v>128</v>
      </c>
      <c r="E5" s="1316" t="s">
        <v>92</v>
      </c>
      <c r="F5" s="1320" t="s">
        <v>9</v>
      </c>
      <c r="G5" s="1319"/>
      <c r="H5" s="1343" t="s">
        <v>359</v>
      </c>
      <c r="I5" s="1322" t="s">
        <v>361</v>
      </c>
      <c r="J5" s="1343" t="s">
        <v>360</v>
      </c>
      <c r="K5" s="1318" t="s">
        <v>305</v>
      </c>
      <c r="L5" s="1318" t="s">
        <v>362</v>
      </c>
      <c r="M5" s="1318" t="s">
        <v>356</v>
      </c>
      <c r="N5" s="1330"/>
      <c r="O5" s="1331"/>
      <c r="Q5" s="1334" t="s">
        <v>456</v>
      </c>
      <c r="R5" s="1335"/>
      <c r="S5" s="1336"/>
      <c r="T5" s="1334"/>
      <c r="U5" s="1335"/>
      <c r="V5" s="1336"/>
      <c r="W5" s="1334" t="s">
        <v>275</v>
      </c>
      <c r="X5" s="1335"/>
      <c r="Y5" s="1335"/>
      <c r="Z5" s="1336"/>
      <c r="AA5" s="1334" t="s">
        <v>451</v>
      </c>
      <c r="AB5" s="1335"/>
      <c r="AC5" s="1335"/>
      <c r="AD5" s="1336"/>
    </row>
    <row r="6" spans="1:31" s="474" customFormat="1" ht="21.75" customHeight="1" thickBot="1">
      <c r="A6" s="1325"/>
      <c r="B6" s="1327"/>
      <c r="C6" s="1315"/>
      <c r="D6" s="1317"/>
      <c r="E6" s="1317"/>
      <c r="F6" s="1321"/>
      <c r="G6" s="1319"/>
      <c r="H6" s="1344"/>
      <c r="I6" s="1323"/>
      <c r="J6" s="1344"/>
      <c r="K6" s="1319"/>
      <c r="L6" s="1319"/>
      <c r="M6" s="1319"/>
      <c r="N6" s="1332"/>
      <c r="O6" s="1333"/>
      <c r="P6" s="1092"/>
      <c r="Q6" s="1337"/>
      <c r="R6" s="1338"/>
      <c r="S6" s="1339"/>
      <c r="T6" s="1337"/>
      <c r="U6" s="1338"/>
      <c r="V6" s="1339"/>
      <c r="W6" s="1337"/>
      <c r="X6" s="1338"/>
      <c r="Y6" s="1338"/>
      <c r="Z6" s="1339"/>
      <c r="AA6" s="1337"/>
      <c r="AB6" s="1338"/>
      <c r="AC6" s="1338"/>
      <c r="AD6" s="1339"/>
    </row>
    <row r="7" spans="1:31" s="474" customFormat="1" ht="84" customHeight="1">
      <c r="A7" s="1325"/>
      <c r="B7" s="1093" t="str">
        <f>Datos!A7</f>
        <v>COMPETENCIAS</v>
      </c>
      <c r="C7" s="1315"/>
      <c r="D7" s="1317"/>
      <c r="E7" s="1317"/>
      <c r="F7" s="1321"/>
      <c r="G7" s="1319"/>
      <c r="H7" s="1344"/>
      <c r="I7" s="1323"/>
      <c r="J7" s="1344"/>
      <c r="K7" s="1319"/>
      <c r="L7" s="1319"/>
      <c r="M7" s="1345"/>
      <c r="N7" s="1094" t="s">
        <v>232</v>
      </c>
      <c r="O7" s="1094" t="s">
        <v>397</v>
      </c>
      <c r="P7" s="1095" t="s">
        <v>398</v>
      </c>
      <c r="Q7" s="1096" t="s">
        <v>399</v>
      </c>
      <c r="R7" s="1095" t="s">
        <v>390</v>
      </c>
      <c r="S7" s="1096" t="s">
        <v>835</v>
      </c>
      <c r="T7" s="1148" t="s">
        <v>836</v>
      </c>
      <c r="U7" s="1148" t="s">
        <v>837</v>
      </c>
      <c r="V7" s="1148" t="s">
        <v>838</v>
      </c>
      <c r="W7" s="1094" t="s">
        <v>452</v>
      </c>
      <c r="X7" s="1162" t="s">
        <v>854</v>
      </c>
      <c r="Y7" s="1162" t="s">
        <v>855</v>
      </c>
      <c r="Z7" s="1163" t="s">
        <v>856</v>
      </c>
      <c r="AA7" s="1097" t="s">
        <v>452</v>
      </c>
      <c r="AB7" s="1162" t="s">
        <v>453</v>
      </c>
      <c r="AC7" s="1162" t="s">
        <v>857</v>
      </c>
      <c r="AD7" s="1163" t="s">
        <v>858</v>
      </c>
      <c r="AE7" s="1098" t="s">
        <v>833</v>
      </c>
    </row>
    <row r="8" spans="1:31" ht="15">
      <c r="A8" s="1328" t="str">
        <f>Datos!A8</f>
        <v>Jurisdicción Civil ( 1 ):</v>
      </c>
      <c r="B8" s="1329"/>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37</v>
      </c>
      <c r="D10" s="228">
        <f>IF(ISNUMBER(Datos!I10),Datos!I10," - ")</f>
        <v>37</v>
      </c>
      <c r="E10" s="229">
        <f>IF(ISNUMBER(Datos!J10),Datos!J10," - ")</f>
        <v>10</v>
      </c>
      <c r="F10" s="229">
        <f>IF(ISNUMBER(Datos!K10),Datos!K10," - ")</f>
        <v>10</v>
      </c>
      <c r="G10" s="1037" t="str">
        <f>IF(Datos!E10&lt;&gt;"",Datos!E10,Datos!D10)</f>
        <v>37</v>
      </c>
      <c r="H10" s="230">
        <f>IF(ISNUMBER(Datos!L10),Datos!L10," - ")</f>
        <v>37</v>
      </c>
      <c r="I10" s="1047" t="str">
        <f>IF(ISNUMBER(Datos!AS10/Datos!BM10),Datos!AS10/Datos!BM10," - ")</f>
        <v xml:space="preserve"> - </v>
      </c>
      <c r="J10" s="1048">
        <f>IF(ISNUMBER(Datos!BY10/Datos!CN10),Datos!BY10/Datos!CN10," - ")</f>
        <v>0</v>
      </c>
      <c r="K10" s="233">
        <f t="shared" ref="K10:K12" si="1">IF(ISNUMBER((E10-F10)/C10),(E10-F10)/C10," - ")</f>
        <v>0</v>
      </c>
      <c r="L10" s="1028">
        <f>IF(ISNUMBER(NºAsuntos!I10/NºAsuntos!G10),(NºAsuntos!I10/NºAsuntos!G10)*11," - ")</f>
        <v>40.700000000000003</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3</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33.668577981651381</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37</v>
      </c>
      <c r="D13" s="1052">
        <f>SUBTOTAL(9,D9:D12)</f>
        <v>37</v>
      </c>
      <c r="E13" s="1053">
        <f>SUBTOTAL(9,E9:E12)</f>
        <v>10</v>
      </c>
      <c r="F13" s="1054">
        <f>SUBTOTAL(9,F9:F12)</f>
        <v>10</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28" t="str">
        <f>Datos!A14</f>
        <v xml:space="preserve">Jurisdicción Penal ( 2 ):                      </v>
      </c>
      <c r="B14" s="1329"/>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3</v>
      </c>
      <c r="B16" s="505" t="str">
        <f>Datos!A16</f>
        <v xml:space="preserve">Jdos. 1ª Instª. e Instr.                        </v>
      </c>
      <c r="C16" s="228">
        <f t="shared" si="2"/>
        <v>1169</v>
      </c>
      <c r="D16" s="228">
        <f>IF(ISNUMBER(IF(D_I="SI",Datos!I16,Datos!I16+Datos!AC16)),IF(D_I="SI",Datos!I16,Datos!I16+Datos!AC16)," - ")</f>
        <v>1161</v>
      </c>
      <c r="E16" s="229">
        <f>IF(ISNUMBER(IF(D_I="SI",Datos!J16,Datos!J16+Datos!AD16)),IF(D_I="SI",Datos!J16,Datos!J16+Datos!AD16)," - ")</f>
        <v>913</v>
      </c>
      <c r="F16" s="229">
        <f>IF(ISNUMBER(IF(D_I="SI",Datos!K16,Datos!K16+Datos!AE16)),IF(D_I="SI",Datos!K16,Datos!K16+Datos!AE16)," - ")</f>
        <v>960</v>
      </c>
      <c r="G16" s="1037" t="str">
        <f>IF(Datos!E16&lt;&gt;"",Datos!E16,Datos!D16)</f>
        <v>04</v>
      </c>
      <c r="H16" s="230">
        <f>IF(ISNUMBER(IF(D_I="SI",Datos!L16,Datos!L16+Datos!AF16)),IF(D_I="SI",Datos!L16,Datos!L16+Datos!AF16)," - ")</f>
        <v>1122</v>
      </c>
      <c r="I16" s="1047" t="str">
        <f>IF(ISNUMBER(Datos!AS16/Datos!BM16),Datos!AS16/Datos!BM16," - ")</f>
        <v xml:space="preserve"> - </v>
      </c>
      <c r="J16" s="1048">
        <f>IF(ISNUMBER(Datos!BY16/Datos!CN16),Datos!BY16/Datos!CN16," - ")</f>
        <v>0</v>
      </c>
      <c r="K16" s="233">
        <f t="shared" si="3"/>
        <v>-4.0205303678357569E-2</v>
      </c>
      <c r="L16" s="1028">
        <f>IF(ISNUMBER(NºAsuntos!I16/NºAsuntos!G16),(NºAsuntos!I16/NºAsuntos!G16)*11," - ")</f>
        <v>12.856249999999999</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101</v>
      </c>
      <c r="D17" s="228">
        <f>IF(ISNUMBER(IF(D_I="SI",Datos!I17,Datos!I17+Datos!AC17)),IF(D_I="SI",Datos!I17,Datos!I17+Datos!AC17)," - ")</f>
        <v>101</v>
      </c>
      <c r="E17" s="229">
        <f>IF(ISNUMBER(IF(D_I="SI",Datos!J17,Datos!J17+Datos!AD17)),IF(D_I="SI",Datos!J17,Datos!J17+Datos!AD17)," - ")</f>
        <v>136</v>
      </c>
      <c r="F17" s="229">
        <f>IF(ISNUMBER(IF(D_I="SI",Datos!K17,Datos!K17+Datos!AE17)),IF(D_I="SI",Datos!K17,Datos!K17+Datos!AE17)," - ")</f>
        <v>144</v>
      </c>
      <c r="G17" s="1037" t="str">
        <f>IF(Datos!E17&lt;&gt;"",Datos!E17,Datos!D17)</f>
        <v>37</v>
      </c>
      <c r="H17" s="230">
        <f>IF(ISNUMBER(IF(D_I="SI",Datos!L17,Datos!L17+Datos!AF17)),IF(D_I="SI",Datos!L17,Datos!L17+Datos!AF17)," - ")</f>
        <v>93</v>
      </c>
      <c r="I17" s="1047" t="str">
        <f>IF(ISNUMBER(Datos!AS17/Datos!BM17),Datos!AS17/Datos!BM17," - ")</f>
        <v xml:space="preserve"> - </v>
      </c>
      <c r="J17" s="1048" t="str">
        <f>IF(ISNUMBER((Datos!BY17+Datos!BZ17)/Datos!CN17),(Datos!BY17+Datos!BZ17)/Datos!CN17," - ")</f>
        <v xml:space="preserve"> - </v>
      </c>
      <c r="K17" s="233">
        <f t="shared" si="3"/>
        <v>-7.9207920792079209E-2</v>
      </c>
      <c r="L17" s="1028">
        <f>IF(ISNUMBER(NºAsuntos!I17/NºAsuntos!G17),(NºAsuntos!I17/NºAsuntos!G17)*11," - ")</f>
        <v>7.104166666666667</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1270</v>
      </c>
      <c r="D18" s="1052">
        <f>SUBTOTAL(9,D15:D17)</f>
        <v>1262</v>
      </c>
      <c r="E18" s="1053">
        <f>SUBTOTAL(9,E15:E17)</f>
        <v>1049</v>
      </c>
      <c r="F18" s="1053">
        <f>SUBTOTAL(9,F15:F17)</f>
        <v>1104</v>
      </c>
      <c r="G18" s="1055" t="str">
        <f ca="1">INDIRECT(CONCATENATE("G",ROW()-1))</f>
        <v>37</v>
      </c>
      <c r="H18" s="1056">
        <f ca="1">SUMIF(G$14:G17,G18,H$14:H17)</f>
        <v>93</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1307</v>
      </c>
      <c r="D19" s="1074">
        <f>SUBTOTAL(9,D9:D18)</f>
        <v>1299</v>
      </c>
      <c r="E19" s="1075">
        <f>SUBTOTAL(9,E9:E18)</f>
        <v>1059</v>
      </c>
      <c r="F19" s="1075">
        <f>SUBTOTAL(9,F9:F18)</f>
        <v>1114</v>
      </c>
      <c r="G19" s="1076"/>
      <c r="H19" s="1077">
        <f ca="1">SUMIF(B9:B18,"TOTAL",H9:H18)</f>
        <v>93</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07 mar.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46" t="s">
        <v>639</v>
      </c>
      <c r="O25" s="1346"/>
      <c r="P25" s="1346"/>
      <c r="Q25" s="1346"/>
      <c r="R25" s="1346"/>
      <c r="S25" s="1346"/>
      <c r="T25" s="1346"/>
      <c r="U25" s="1346"/>
      <c r="V25" s="1346"/>
      <c r="W25" s="1346"/>
      <c r="Y25" s="1346" t="s">
        <v>640</v>
      </c>
      <c r="Z25" s="1346"/>
      <c r="AA25" s="1346"/>
      <c r="AB25" s="1346"/>
      <c r="AC25" s="1346"/>
      <c r="AD25" s="1346"/>
    </row>
    <row r="27" spans="1:31">
      <c r="N27" s="1034" t="s">
        <v>641</v>
      </c>
      <c r="O27" s="1347" t="s">
        <v>642</v>
      </c>
      <c r="P27" s="1347"/>
      <c r="Q27" s="1347"/>
      <c r="R27" s="1347"/>
      <c r="S27" s="1347"/>
      <c r="T27" s="1347"/>
      <c r="U27" s="1347"/>
      <c r="V27" s="1347"/>
      <c r="W27" s="1347"/>
      <c r="Y27" s="1034" t="s">
        <v>641</v>
      </c>
      <c r="Z27" s="1348" t="s">
        <v>643</v>
      </c>
      <c r="AA27" s="1348"/>
      <c r="AB27" s="1348"/>
      <c r="AC27" s="1348"/>
      <c r="AD27" s="1348"/>
    </row>
    <row r="28" spans="1:31">
      <c r="N28" s="1034" t="s">
        <v>644</v>
      </c>
      <c r="O28" s="1347" t="s">
        <v>645</v>
      </c>
      <c r="P28" s="1347"/>
      <c r="Q28" s="1347"/>
      <c r="R28" s="1347"/>
      <c r="S28" s="1347"/>
      <c r="T28" s="1347"/>
      <c r="U28" s="1347"/>
      <c r="V28" s="1347"/>
      <c r="W28" s="1347"/>
      <c r="Y28" s="1034" t="s">
        <v>644</v>
      </c>
      <c r="Z28" s="1348" t="s">
        <v>646</v>
      </c>
      <c r="AA28" s="1348"/>
      <c r="AB28" s="1348"/>
      <c r="AC28" s="1348"/>
      <c r="AD28" s="1348"/>
    </row>
    <row r="29" spans="1:31">
      <c r="N29" s="1034" t="s">
        <v>647</v>
      </c>
      <c r="O29" s="1347" t="s">
        <v>648</v>
      </c>
      <c r="P29" s="1347"/>
      <c r="Q29" s="1347"/>
      <c r="R29" s="1347"/>
      <c r="S29" s="1347"/>
      <c r="T29" s="1347"/>
      <c r="U29" s="1347"/>
      <c r="V29" s="1347"/>
      <c r="W29" s="1347"/>
      <c r="Y29" s="1034" t="s">
        <v>649</v>
      </c>
      <c r="Z29" s="1348" t="s">
        <v>904</v>
      </c>
      <c r="AA29" s="1348"/>
      <c r="AB29" s="1348"/>
      <c r="AC29" s="1348"/>
      <c r="AD29" s="1348"/>
    </row>
    <row r="30" spans="1:31">
      <c r="N30" s="1034" t="s">
        <v>650</v>
      </c>
      <c r="O30" s="1347" t="s">
        <v>651</v>
      </c>
      <c r="P30" s="1347"/>
      <c r="Q30" s="1347"/>
      <c r="R30" s="1347"/>
      <c r="S30" s="1347"/>
      <c r="T30" s="1347"/>
      <c r="U30" s="1347"/>
      <c r="V30" s="1347"/>
      <c r="W30" s="1347"/>
      <c r="Y30" s="1034" t="s">
        <v>652</v>
      </c>
      <c r="Z30" s="1348" t="s">
        <v>905</v>
      </c>
      <c r="AA30" s="1348"/>
      <c r="AB30" s="1348"/>
      <c r="AC30" s="1348"/>
      <c r="AD30" s="1348"/>
    </row>
    <row r="31" spans="1:31">
      <c r="N31" s="1034" t="s">
        <v>735</v>
      </c>
      <c r="O31" s="1347" t="s">
        <v>736</v>
      </c>
      <c r="P31" s="1347"/>
      <c r="Q31" s="1347"/>
      <c r="R31" s="1347"/>
      <c r="S31" s="1347"/>
      <c r="T31" s="1347"/>
      <c r="U31" s="1347"/>
      <c r="V31" s="1347"/>
      <c r="W31" s="1347"/>
      <c r="Y31" s="1034" t="s">
        <v>647</v>
      </c>
      <c r="Z31" s="1348" t="s">
        <v>648</v>
      </c>
      <c r="AA31" s="1348"/>
      <c r="AB31" s="1348"/>
      <c r="AC31" s="1348"/>
      <c r="AD31" s="1348"/>
    </row>
    <row r="32" spans="1:31">
      <c r="N32" s="1034" t="s">
        <v>653</v>
      </c>
      <c r="O32" s="1347" t="s">
        <v>654</v>
      </c>
      <c r="P32" s="1347"/>
      <c r="Q32" s="1347"/>
      <c r="R32" s="1347"/>
      <c r="S32" s="1347"/>
      <c r="T32" s="1347"/>
      <c r="U32" s="1347"/>
      <c r="V32" s="1347"/>
      <c r="W32" s="1347"/>
      <c r="Y32" s="1034" t="s">
        <v>650</v>
      </c>
      <c r="Z32" s="1348" t="s">
        <v>651</v>
      </c>
      <c r="AA32" s="1348"/>
      <c r="AB32" s="1348"/>
      <c r="AC32" s="1348"/>
      <c r="AD32" s="1348"/>
    </row>
    <row r="33" spans="14:30">
      <c r="N33" s="1034" t="s">
        <v>655</v>
      </c>
      <c r="O33" s="1347" t="s">
        <v>656</v>
      </c>
      <c r="P33" s="1347"/>
      <c r="Q33" s="1347"/>
      <c r="R33" s="1347"/>
      <c r="S33" s="1347"/>
      <c r="T33" s="1347"/>
      <c r="U33" s="1347"/>
      <c r="V33" s="1347"/>
      <c r="W33" s="1347"/>
      <c r="Y33" s="1034" t="s">
        <v>657</v>
      </c>
      <c r="Z33" s="1348" t="s">
        <v>658</v>
      </c>
      <c r="AA33" s="1348"/>
      <c r="AB33" s="1348"/>
      <c r="AC33" s="1348"/>
      <c r="AD33" s="1348"/>
    </row>
    <row r="34" spans="14:30">
      <c r="N34" s="1034" t="s">
        <v>649</v>
      </c>
      <c r="O34" s="1347" t="s">
        <v>902</v>
      </c>
      <c r="P34" s="1347"/>
      <c r="Q34" s="1347"/>
      <c r="R34" s="1347"/>
      <c r="S34" s="1347"/>
      <c r="T34" s="1347"/>
      <c r="U34" s="1347"/>
      <c r="V34" s="1347"/>
      <c r="W34" s="1347"/>
      <c r="Y34" s="1034" t="s">
        <v>659</v>
      </c>
      <c r="Z34" s="1348" t="s">
        <v>660</v>
      </c>
      <c r="AA34" s="1348"/>
      <c r="AB34" s="1348"/>
      <c r="AC34" s="1348"/>
      <c r="AD34" s="1348"/>
    </row>
    <row r="35" spans="14:30">
      <c r="N35" s="1034" t="s">
        <v>652</v>
      </c>
      <c r="O35" s="1347" t="s">
        <v>903</v>
      </c>
      <c r="P35" s="1347"/>
      <c r="Q35" s="1347"/>
      <c r="R35" s="1347"/>
      <c r="S35" s="1347"/>
      <c r="T35" s="1347"/>
      <c r="U35" s="1347"/>
      <c r="V35" s="1347"/>
      <c r="W35" s="1347"/>
      <c r="Y35" s="1034" t="s">
        <v>662</v>
      </c>
      <c r="Z35" s="1348" t="s">
        <v>663</v>
      </c>
      <c r="AA35" s="1348"/>
      <c r="AB35" s="1348"/>
      <c r="AC35" s="1348"/>
      <c r="AD35" s="1348"/>
    </row>
    <row r="36" spans="14:30">
      <c r="N36" s="1034" t="s">
        <v>657</v>
      </c>
      <c r="O36" s="1347" t="s">
        <v>661</v>
      </c>
      <c r="P36" s="1347"/>
      <c r="Q36" s="1347"/>
      <c r="R36" s="1347"/>
      <c r="S36" s="1347"/>
      <c r="T36" s="1347"/>
      <c r="U36" s="1347"/>
      <c r="V36" s="1347"/>
      <c r="W36" s="1347"/>
      <c r="Y36" s="1034" t="s">
        <v>653</v>
      </c>
      <c r="Z36" s="1348" t="s">
        <v>654</v>
      </c>
      <c r="AA36" s="1348"/>
      <c r="AB36" s="1348"/>
      <c r="AC36" s="1348"/>
      <c r="AD36" s="1348"/>
    </row>
    <row r="37" spans="14:30">
      <c r="N37" s="1034" t="s">
        <v>664</v>
      </c>
      <c r="O37" s="1347" t="s">
        <v>665</v>
      </c>
      <c r="P37" s="1347"/>
      <c r="Q37" s="1347"/>
      <c r="R37" s="1347"/>
      <c r="S37" s="1347"/>
      <c r="T37" s="1347"/>
      <c r="U37" s="1347"/>
      <c r="V37" s="1347"/>
      <c r="W37" s="1347"/>
      <c r="Y37" s="1035" t="s">
        <v>655</v>
      </c>
      <c r="Z37" s="1350" t="s">
        <v>656</v>
      </c>
      <c r="AA37" s="1350"/>
      <c r="AB37" s="1350"/>
      <c r="AC37" s="1350"/>
      <c r="AD37" s="1350"/>
    </row>
    <row r="38" spans="14:30">
      <c r="N38" s="1034" t="s">
        <v>659</v>
      </c>
      <c r="O38" s="1347" t="s">
        <v>666</v>
      </c>
      <c r="P38" s="1347"/>
      <c r="Q38" s="1347"/>
      <c r="R38" s="1347"/>
      <c r="S38" s="1347"/>
      <c r="T38" s="1347"/>
      <c r="U38" s="1347"/>
      <c r="V38" s="1347"/>
      <c r="W38" s="1347"/>
    </row>
    <row r="39" spans="14:30">
      <c r="N39" s="1035" t="s">
        <v>662</v>
      </c>
      <c r="O39" s="1349" t="s">
        <v>667</v>
      </c>
      <c r="P39" s="1349"/>
      <c r="Q39" s="1349"/>
      <c r="R39" s="1349"/>
      <c r="S39" s="1349"/>
      <c r="T39" s="1349"/>
      <c r="U39" s="1349"/>
      <c r="V39" s="1349"/>
      <c r="W39" s="1349"/>
    </row>
  </sheetData>
  <sheetProtection algorithmName="SHA-512" hashValue="m8qw6nsBulMOiAl+xR7vljmppchmnfdQ3FDHO6AEUfGBhokCsrVFX3Gs5R9nnQJGU8+aUwbTL8clNFtXH7FXTA==" saltValue="MOGYpJ1pPYxoLAG6RvMeaA==" spinCount="100000" sheet="1" objects="1" scenarios="1"/>
  <mergeCells count="48">
    <mergeCell ref="O36:W36"/>
    <mergeCell ref="O37:W37"/>
    <mergeCell ref="O38:W38"/>
    <mergeCell ref="O39:W39"/>
    <mergeCell ref="Z36:AD36"/>
    <mergeCell ref="Z37:AD37"/>
    <mergeCell ref="O33:W33"/>
    <mergeCell ref="O34:W34"/>
    <mergeCell ref="O35:W35"/>
    <mergeCell ref="Z33:AD33"/>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1164" priority="111" stopIfTrue="1" operator="notBetween">
      <formula>$C$23</formula>
      <formula>$C$24</formula>
    </cfRule>
  </conditionalFormatting>
  <conditionalFormatting sqref="D10:D12 D15:D17">
    <cfRule type="cellIs" dxfId="1163" priority="92" stopIfTrue="1" operator="between">
      <formula>$D$23</formula>
      <formula>$D$24</formula>
    </cfRule>
  </conditionalFormatting>
  <conditionalFormatting sqref="E15:E17 E9:E12">
    <cfRule type="cellIs" dxfId="1162" priority="99" stopIfTrue="1" operator="notBetween">
      <formula>$E$23</formula>
      <formula>$E$24</formula>
    </cfRule>
  </conditionalFormatting>
  <conditionalFormatting sqref="F15:F17 F9:F12">
    <cfRule type="cellIs" dxfId="116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423</v>
      </c>
    </row>
    <row r="9" spans="2:2">
      <c r="B9" s="470"/>
    </row>
    <row r="10" spans="2:2">
      <c r="B10" s="467"/>
    </row>
    <row r="11" spans="2:2" ht="25.5">
      <c r="B11" s="1159" t="s">
        <v>424</v>
      </c>
    </row>
    <row r="12" spans="2:2">
      <c r="B12" s="1160"/>
    </row>
    <row r="13" spans="2:2" ht="76.5">
      <c r="B13" s="1160" t="s">
        <v>425</v>
      </c>
    </row>
    <row r="14" spans="2:2">
      <c r="B14" s="1160"/>
    </row>
    <row r="15" spans="2:2" ht="51">
      <c r="B15" s="1160" t="s">
        <v>426</v>
      </c>
    </row>
    <row r="16" spans="2:2">
      <c r="B16" s="1160"/>
    </row>
    <row r="17" spans="2:2" ht="51">
      <c r="B17" s="1161" t="s">
        <v>427</v>
      </c>
    </row>
  </sheetData>
  <sheetProtection algorithmName="SHA-512" hashValue="uPfYh45cTFSlemeKGcyArWcTbcEN2Sk5UDP0FXIlonQIcfxwFPN5XeQqFeUJprxJp/FM9a5yLIOp+vkmT8EvGw==" saltValue="RGwASRmohGDa8z6BoFC55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CL1" activePane="topRight" state="frozen"/>
      <selection pane="topRight" activeCell="CQ10" sqref="CQ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c r="BO1" s="31"/>
      <c r="BP1" s="30"/>
      <c r="BQ1" s="50"/>
      <c r="BR1" s="31"/>
      <c r="BS1" s="30"/>
      <c r="BT1" s="50"/>
      <c r="BU1" s="31"/>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c r="BO5" s="1295"/>
      <c r="BP5" s="1294"/>
      <c r="BQ5" s="1295"/>
      <c r="BR5" s="1294"/>
      <c r="BS5" s="1295"/>
      <c r="BT5" s="1294"/>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756</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473" t="s">
        <v>755</v>
      </c>
      <c r="ER8" s="473">
        <v>148</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t="s">
        <v>813</v>
      </c>
      <c r="J9" s="184" t="s">
        <v>805</v>
      </c>
      <c r="K9" s="184" t="s">
        <v>859</v>
      </c>
      <c r="L9" s="184" t="s">
        <v>818</v>
      </c>
      <c r="M9" s="184" t="s">
        <v>494</v>
      </c>
      <c r="N9" s="184" t="s">
        <v>509</v>
      </c>
      <c r="O9" s="184" t="s">
        <v>227</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804</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891</v>
      </c>
      <c r="EP9" s="1000"/>
      <c r="EQ9" s="1000"/>
      <c r="ER9" s="1003">
        <v>1200</v>
      </c>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v>37</v>
      </c>
      <c r="J10" s="184">
        <v>10</v>
      </c>
      <c r="K10" s="184">
        <v>10</v>
      </c>
      <c r="L10" s="184">
        <v>37</v>
      </c>
      <c r="M10" s="184">
        <v>7</v>
      </c>
      <c r="N10" s="184">
        <v>1</v>
      </c>
      <c r="O10" s="184">
        <v>1</v>
      </c>
      <c r="P10" s="184">
        <v>0</v>
      </c>
      <c r="Q10" s="184">
        <v>0</v>
      </c>
      <c r="R10" s="184">
        <v>6</v>
      </c>
      <c r="S10" s="184">
        <v>22</v>
      </c>
      <c r="T10" s="184">
        <v>13</v>
      </c>
      <c r="U10" s="184">
        <v>10</v>
      </c>
      <c r="V10" s="184">
        <v>25</v>
      </c>
      <c r="W10" s="184">
        <v>5</v>
      </c>
      <c r="X10" s="191">
        <v>2</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798</v>
      </c>
      <c r="AT10" s="195"/>
      <c r="AU10" s="203"/>
      <c r="AV10" s="195"/>
      <c r="AW10" s="203"/>
      <c r="AX10" s="195"/>
      <c r="AY10" s="128">
        <f t="shared" ref="AY10:BC10" si="0">IF(ISNUMBER(S10),S10," - ")</f>
        <v>22</v>
      </c>
      <c r="AZ10" s="129">
        <f t="shared" si="0"/>
        <v>13</v>
      </c>
      <c r="BA10" s="129">
        <f t="shared" si="0"/>
        <v>10</v>
      </c>
      <c r="BB10" s="129">
        <f t="shared" si="0"/>
        <v>25</v>
      </c>
      <c r="BC10" s="125">
        <f t="shared" si="0"/>
        <v>5</v>
      </c>
      <c r="BD10" s="126">
        <f>IF(ISNUMBER(BA10/AZ10),BA10/AZ10," - ")</f>
        <v>0.76923076923076927</v>
      </c>
      <c r="BE10" s="127">
        <f>IF(ISNUMBER(BB10/BA10),BB10/BA10, " - ")</f>
        <v>2.5</v>
      </c>
      <c r="BF10" s="127">
        <f>IF(ISNUMBER(BC10/BA10),BC10/BA10, " - ")</f>
        <v>0.5</v>
      </c>
      <c r="BG10" s="199">
        <f>IF(ISNUMBER((AY10+AZ10)/BA10),(AY10+AZ10)/BA10," - ")</f>
        <v>3.5</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772</v>
      </c>
      <c r="EP10" s="342"/>
      <c r="EQ10" s="342"/>
      <c r="ER10" s="1004">
        <v>1600</v>
      </c>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t="s">
        <v>813</v>
      </c>
      <c r="J11" s="186" t="s">
        <v>805</v>
      </c>
      <c r="K11" s="186" t="s">
        <v>859</v>
      </c>
      <c r="L11" s="186" t="s">
        <v>818</v>
      </c>
      <c r="M11" s="186" t="s">
        <v>494</v>
      </c>
      <c r="N11" s="186" t="s">
        <v>509</v>
      </c>
      <c r="O11" s="184" t="s">
        <v>227</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806</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892</v>
      </c>
      <c r="EP11" s="1001"/>
      <c r="EQ11" s="1001"/>
      <c r="ER11" s="1005">
        <v>1323</v>
      </c>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v>2657</v>
      </c>
      <c r="J12" s="186">
        <v>762</v>
      </c>
      <c r="K12" s="186">
        <v>810</v>
      </c>
      <c r="L12" s="186">
        <v>2609</v>
      </c>
      <c r="M12" s="186">
        <v>213</v>
      </c>
      <c r="N12" s="186">
        <v>310</v>
      </c>
      <c r="O12" s="184">
        <v>351</v>
      </c>
      <c r="P12" s="186">
        <v>220</v>
      </c>
      <c r="Q12" s="186">
        <v>253</v>
      </c>
      <c r="R12" s="186">
        <v>2914</v>
      </c>
      <c r="S12" s="186">
        <v>2577</v>
      </c>
      <c r="T12" s="186">
        <v>802</v>
      </c>
      <c r="U12" s="186">
        <v>869</v>
      </c>
      <c r="V12" s="186">
        <v>2482</v>
      </c>
      <c r="W12" s="186">
        <v>170</v>
      </c>
      <c r="X12" s="192">
        <v>392</v>
      </c>
      <c r="Y12" s="194">
        <v>91</v>
      </c>
      <c r="Z12" s="184">
        <v>31</v>
      </c>
      <c r="AA12" s="184">
        <v>62</v>
      </c>
      <c r="AB12" s="184">
        <v>60</v>
      </c>
      <c r="AC12" s="186">
        <v>0</v>
      </c>
      <c r="AD12" s="186">
        <v>0</v>
      </c>
      <c r="AE12" s="186">
        <v>0</v>
      </c>
      <c r="AF12" s="192">
        <v>0</v>
      </c>
      <c r="AG12" s="205">
        <v>116</v>
      </c>
      <c r="AH12" s="186">
        <v>38</v>
      </c>
      <c r="AI12" s="186">
        <v>57</v>
      </c>
      <c r="AJ12" s="206">
        <v>67</v>
      </c>
      <c r="AK12" s="185">
        <v>0</v>
      </c>
      <c r="AL12" s="186">
        <v>0</v>
      </c>
      <c r="AM12" s="186">
        <v>0</v>
      </c>
      <c r="AN12" s="192">
        <v>0</v>
      </c>
      <c r="AO12" s="262">
        <v>3</v>
      </c>
      <c r="AP12" s="158">
        <v>3</v>
      </c>
      <c r="AQ12" s="158">
        <v>3</v>
      </c>
      <c r="AR12" s="157">
        <v>3</v>
      </c>
      <c r="AS12" s="343" t="s">
        <v>807</v>
      </c>
      <c r="AT12" s="206"/>
      <c r="AU12" s="205"/>
      <c r="AV12" s="206"/>
      <c r="AW12" s="205"/>
      <c r="AX12" s="206"/>
      <c r="AY12" s="126">
        <f t="shared" si="1"/>
        <v>2693</v>
      </c>
      <c r="AZ12" s="127">
        <f t="shared" si="1"/>
        <v>840</v>
      </c>
      <c r="BA12" s="127">
        <f t="shared" si="1"/>
        <v>926</v>
      </c>
      <c r="BB12" s="127">
        <f t="shared" si="1"/>
        <v>2549</v>
      </c>
      <c r="BC12" s="125">
        <f>IF(ISNUMBER(X12),X12," - ")</f>
        <v>392</v>
      </c>
      <c r="BD12" s="126">
        <f t="shared" si="2"/>
        <v>1.1023809523809525</v>
      </c>
      <c r="BE12" s="127">
        <f t="shared" si="3"/>
        <v>2.7526997840172784</v>
      </c>
      <c r="BF12" s="127">
        <f t="shared" si="4"/>
        <v>0.42332613390928725</v>
      </c>
      <c r="BG12" s="199">
        <f t="shared" si="5"/>
        <v>3.8153347732181424</v>
      </c>
      <c r="BH12" s="158">
        <v>3</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893</v>
      </c>
      <c r="EP12" s="1002"/>
      <c r="EQ12" s="1002"/>
      <c r="ER12" s="1003">
        <v>680</v>
      </c>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6">SUBTOTAL(9,I8:I12)</f>
        <v>2694</v>
      </c>
      <c r="J13" s="187">
        <f t="shared" si="6"/>
        <v>772</v>
      </c>
      <c r="K13" s="187">
        <f t="shared" si="6"/>
        <v>820</v>
      </c>
      <c r="L13" s="187">
        <f t="shared" si="6"/>
        <v>2646</v>
      </c>
      <c r="M13" s="187">
        <f t="shared" si="6"/>
        <v>220</v>
      </c>
      <c r="N13" s="187">
        <f t="shared" si="6"/>
        <v>311</v>
      </c>
      <c r="O13" s="187">
        <f t="shared" si="6"/>
        <v>352</v>
      </c>
      <c r="P13" s="187">
        <f t="shared" si="6"/>
        <v>220</v>
      </c>
      <c r="Q13" s="187">
        <f t="shared" si="6"/>
        <v>253</v>
      </c>
      <c r="R13" s="187">
        <f t="shared" si="6"/>
        <v>2920</v>
      </c>
      <c r="S13" s="187">
        <f t="shared" si="6"/>
        <v>2599</v>
      </c>
      <c r="T13" s="187">
        <f t="shared" si="6"/>
        <v>815</v>
      </c>
      <c r="U13" s="187">
        <f t="shared" si="6"/>
        <v>879</v>
      </c>
      <c r="V13" s="187">
        <f t="shared" si="6"/>
        <v>2507</v>
      </c>
      <c r="W13" s="187">
        <f t="shared" si="6"/>
        <v>175</v>
      </c>
      <c r="X13" s="187">
        <f t="shared" si="6"/>
        <v>394</v>
      </c>
      <c r="Y13" s="187">
        <f t="shared" si="6"/>
        <v>91</v>
      </c>
      <c r="Z13" s="187">
        <f t="shared" si="6"/>
        <v>31</v>
      </c>
      <c r="AA13" s="187">
        <f t="shared" si="6"/>
        <v>62</v>
      </c>
      <c r="AB13" s="187">
        <f t="shared" si="6"/>
        <v>60</v>
      </c>
      <c r="AC13" s="187">
        <f t="shared" si="6"/>
        <v>0</v>
      </c>
      <c r="AD13" s="187">
        <f t="shared" si="6"/>
        <v>0</v>
      </c>
      <c r="AE13" s="187">
        <f t="shared" si="6"/>
        <v>0</v>
      </c>
      <c r="AF13" s="187">
        <f>SUBTOTAL(9,AF9:AF12)</f>
        <v>0</v>
      </c>
      <c r="AG13" s="187">
        <f t="shared" ref="AG13:AT13" si="7">SUBTOTAL(9,AG8:AG12)</f>
        <v>116</v>
      </c>
      <c r="AH13" s="187">
        <f t="shared" si="7"/>
        <v>38</v>
      </c>
      <c r="AI13" s="187">
        <f t="shared" si="7"/>
        <v>57</v>
      </c>
      <c r="AJ13" s="187">
        <f t="shared" si="7"/>
        <v>67</v>
      </c>
      <c r="AK13" s="187">
        <f t="shared" si="7"/>
        <v>0</v>
      </c>
      <c r="AL13" s="187">
        <f t="shared" si="7"/>
        <v>0</v>
      </c>
      <c r="AM13" s="187">
        <f t="shared" si="7"/>
        <v>0</v>
      </c>
      <c r="AN13" s="187">
        <f t="shared" si="7"/>
        <v>0</v>
      </c>
      <c r="AO13" s="187">
        <f t="shared" si="7"/>
        <v>4</v>
      </c>
      <c r="AP13" s="187">
        <f t="shared" si="7"/>
        <v>3</v>
      </c>
      <c r="AQ13" s="187">
        <f t="shared" si="7"/>
        <v>3</v>
      </c>
      <c r="AR13" s="187">
        <f t="shared" si="7"/>
        <v>3</v>
      </c>
      <c r="AS13" s="187">
        <f t="shared" si="7"/>
        <v>0</v>
      </c>
      <c r="AT13" s="187">
        <f t="shared" si="7"/>
        <v>0</v>
      </c>
      <c r="AU13" s="207"/>
      <c r="AV13" s="132"/>
      <c r="AW13" s="207"/>
      <c r="AX13" s="132"/>
      <c r="AY13" s="187">
        <f>SUBTOTAL(9,AY8:AY12)</f>
        <v>2715</v>
      </c>
      <c r="AZ13" s="187">
        <f>SUBTOTAL(9,AZ8:AZ12)</f>
        <v>853</v>
      </c>
      <c r="BA13" s="187">
        <f>SUBTOTAL(9,BA8:BA12)</f>
        <v>936</v>
      </c>
      <c r="BB13" s="187">
        <f>SUBTOTAL(9,BB8:BB12)</f>
        <v>2574</v>
      </c>
      <c r="BC13" s="187">
        <f>SUBTOTAL(9,BC8:BC12)</f>
        <v>397</v>
      </c>
      <c r="BD13" s="208">
        <f>IF(ISNUMBER(BA13/AZ13),BA13/AZ13," - ")</f>
        <v>1.0973036342321218</v>
      </c>
      <c r="BE13" s="209">
        <f>IF(ISNUMBER(BB13/BA13),BB13/BA13, " - ")</f>
        <v>2.75</v>
      </c>
      <c r="BF13" s="209">
        <f>IF(ISNUMBER(BC13/BA13),BC13/BA13, " - ")</f>
        <v>0.42414529914529914</v>
      </c>
      <c r="BG13" s="210">
        <f>IF(ISNUMBER((AY13+AZ13)/BA13),(AY13+AZ13)/BA13," - ")</f>
        <v>3.8119658119658117</v>
      </c>
      <c r="BH13" s="143">
        <f>SUBTOTAL(9,BH8:BH12)</f>
        <v>4</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t="s">
        <v>492</v>
      </c>
      <c r="J15" s="186" t="s">
        <v>488</v>
      </c>
      <c r="K15" s="186" t="s">
        <v>489</v>
      </c>
      <c r="L15" s="186" t="s">
        <v>490</v>
      </c>
      <c r="M15" s="186" t="s">
        <v>495</v>
      </c>
      <c r="N15" s="186" t="s">
        <v>150</v>
      </c>
      <c r="O15" s="184" t="s">
        <v>228</v>
      </c>
      <c r="P15" s="186" t="s">
        <v>474</v>
      </c>
      <c r="Q15" s="186" t="s">
        <v>475</v>
      </c>
      <c r="R15" s="186" t="s">
        <v>476</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531</v>
      </c>
      <c r="AT15" s="206" t="s">
        <v>329</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808</v>
      </c>
      <c r="EP15" s="1001"/>
      <c r="EQ15" s="1001"/>
      <c r="ER15" s="1005">
        <v>3300</v>
      </c>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v>1161</v>
      </c>
      <c r="J16" s="186">
        <v>913</v>
      </c>
      <c r="K16" s="186">
        <v>960</v>
      </c>
      <c r="L16" s="186">
        <v>1122</v>
      </c>
      <c r="M16" s="186">
        <v>92</v>
      </c>
      <c r="N16" s="186">
        <v>657</v>
      </c>
      <c r="O16" s="184">
        <v>0</v>
      </c>
      <c r="P16" s="186">
        <v>42</v>
      </c>
      <c r="Q16" s="186">
        <v>26</v>
      </c>
      <c r="R16" s="186">
        <v>97</v>
      </c>
      <c r="S16" s="186">
        <v>1086</v>
      </c>
      <c r="T16" s="186">
        <v>831</v>
      </c>
      <c r="U16" s="186">
        <v>793</v>
      </c>
      <c r="V16" s="186">
        <v>1124</v>
      </c>
      <c r="W16" s="186">
        <v>86</v>
      </c>
      <c r="X16" s="192">
        <v>532</v>
      </c>
      <c r="Y16" s="205">
        <v>0</v>
      </c>
      <c r="Z16" s="186">
        <v>0</v>
      </c>
      <c r="AA16" s="186">
        <v>0</v>
      </c>
      <c r="AB16" s="186">
        <v>0</v>
      </c>
      <c r="AC16" s="186">
        <v>0</v>
      </c>
      <c r="AD16" s="186">
        <v>0</v>
      </c>
      <c r="AE16" s="186">
        <v>0</v>
      </c>
      <c r="AF16" s="192">
        <v>0</v>
      </c>
      <c r="AG16" s="205">
        <v>0</v>
      </c>
      <c r="AH16" s="186">
        <v>0</v>
      </c>
      <c r="AI16" s="186">
        <v>0</v>
      </c>
      <c r="AJ16" s="206">
        <v>0</v>
      </c>
      <c r="AK16" s="185">
        <v>0</v>
      </c>
      <c r="AL16" s="186">
        <v>0</v>
      </c>
      <c r="AM16" s="186">
        <v>0</v>
      </c>
      <c r="AN16" s="192">
        <v>0</v>
      </c>
      <c r="AO16" s="262">
        <v>3</v>
      </c>
      <c r="AP16" s="158">
        <v>3</v>
      </c>
      <c r="AQ16" s="158">
        <v>3</v>
      </c>
      <c r="AR16" s="158">
        <v>3</v>
      </c>
      <c r="AS16" s="343" t="s">
        <v>491</v>
      </c>
      <c r="AT16" s="206"/>
      <c r="AU16" s="205"/>
      <c r="AV16" s="206"/>
      <c r="AW16" s="205"/>
      <c r="AX16" s="206"/>
      <c r="AY16" s="126">
        <f t="shared" si="9"/>
        <v>1086</v>
      </c>
      <c r="AZ16" s="127">
        <f t="shared" si="9"/>
        <v>831</v>
      </c>
      <c r="BA16" s="127">
        <f t="shared" si="9"/>
        <v>793</v>
      </c>
      <c r="BB16" s="127">
        <f t="shared" si="9"/>
        <v>1124</v>
      </c>
      <c r="BC16" s="125">
        <f>IF(ISNUMBER(W16),W16," - ")</f>
        <v>86</v>
      </c>
      <c r="BD16" s="126">
        <f t="shared" ref="BD16" si="11">IF(ISNUMBER(BA16/AZ16),BA16/AZ16," - ")</f>
        <v>0.95427196149217808</v>
      </c>
      <c r="BE16" s="127">
        <f t="shared" ref="BE16" si="12">IF(ISNUMBER(BB16/BA16),BB16/BA16, " - ")</f>
        <v>1.4174022698612863</v>
      </c>
      <c r="BF16" s="127">
        <f t="shared" ref="BF16" si="13">IF(ISNUMBER(BC16/BA16),BC16/BA16, " - ")</f>
        <v>0.10844892812105927</v>
      </c>
      <c r="BG16" s="199">
        <f t="shared" si="10"/>
        <v>2.4174022698612863</v>
      </c>
      <c r="BH16" s="158">
        <v>3</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778</v>
      </c>
      <c r="EP16" s="1001"/>
      <c r="EQ16" s="1001"/>
      <c r="ER16" s="1005">
        <v>1000</v>
      </c>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v>101</v>
      </c>
      <c r="J17" s="186">
        <v>136</v>
      </c>
      <c r="K17" s="186">
        <v>144</v>
      </c>
      <c r="L17" s="186">
        <v>93</v>
      </c>
      <c r="M17" s="186">
        <v>19</v>
      </c>
      <c r="N17" s="186">
        <v>88</v>
      </c>
      <c r="O17" s="186">
        <v>0</v>
      </c>
      <c r="P17" s="186">
        <v>4</v>
      </c>
      <c r="Q17" s="186">
        <v>6</v>
      </c>
      <c r="R17" s="186">
        <v>4</v>
      </c>
      <c r="S17" s="186">
        <v>61</v>
      </c>
      <c r="T17" s="186">
        <v>86</v>
      </c>
      <c r="U17" s="186">
        <v>90</v>
      </c>
      <c r="V17" s="186">
        <v>57</v>
      </c>
      <c r="W17" s="186">
        <v>12</v>
      </c>
      <c r="X17" s="192">
        <v>49</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797</v>
      </c>
      <c r="AT17" s="212"/>
      <c r="AU17" s="203"/>
      <c r="AV17" s="212"/>
      <c r="AW17" s="203"/>
      <c r="AX17" s="212"/>
      <c r="AY17" s="128">
        <f t="shared" ref="AY17:BB17" si="14">IF(ISNUMBER(S17),S17," - ")</f>
        <v>61</v>
      </c>
      <c r="AZ17" s="129">
        <f t="shared" si="14"/>
        <v>86</v>
      </c>
      <c r="BA17" s="129">
        <f t="shared" si="14"/>
        <v>90</v>
      </c>
      <c r="BB17" s="129">
        <f t="shared" si="14"/>
        <v>57</v>
      </c>
      <c r="BC17" s="125">
        <f>IF(ISNUMBER(W17),W17," - ")</f>
        <v>12</v>
      </c>
      <c r="BD17" s="126">
        <f>IF(ISNUMBER(BA17/AZ17),BA17/AZ17," - ")</f>
        <v>1.0465116279069768</v>
      </c>
      <c r="BE17" s="127">
        <f>IF(ISNUMBER(BB17/BA17),BB17/BA17, " - ")</f>
        <v>0.6333333333333333</v>
      </c>
      <c r="BF17" s="127">
        <f>IF(ISNUMBER(BC17/BA17),BC17/BA17, " - ")</f>
        <v>0.13333333333333333</v>
      </c>
      <c r="BG17" s="199">
        <f>IF(ISNUMBER((AY17+AZ17)/BA17),(AY17+AZ17)/BA17," - ")</f>
        <v>1.6333333333333333</v>
      </c>
      <c r="BH17" s="158">
        <v>1</v>
      </c>
      <c r="BI17" s="158"/>
      <c r="BJ17" s="203"/>
      <c r="BK17" s="157"/>
      <c r="BL17" s="157"/>
      <c r="BM17" s="157">
        <v>1800</v>
      </c>
      <c r="BN17" s="157"/>
      <c r="BO17" s="157"/>
      <c r="BP17" s="157"/>
      <c r="BQ17" s="157"/>
      <c r="BR17" s="157"/>
      <c r="BS17" s="157"/>
      <c r="BT17" s="157"/>
      <c r="BU17" s="157"/>
      <c r="BV17" s="157"/>
      <c r="BW17" s="157"/>
      <c r="BX17" s="157"/>
      <c r="BY17" s="177" t="s">
        <v>733</v>
      </c>
      <c r="BZ17" s="177" t="s">
        <v>734</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779</v>
      </c>
      <c r="EP17" s="342"/>
      <c r="EQ17" s="342"/>
      <c r="ER17" s="1004">
        <v>1600</v>
      </c>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15">SUBTOTAL(9,I14:I17)</f>
        <v>1262</v>
      </c>
      <c r="J18" s="187">
        <f t="shared" si="15"/>
        <v>1049</v>
      </c>
      <c r="K18" s="187">
        <f t="shared" si="15"/>
        <v>1104</v>
      </c>
      <c r="L18" s="187">
        <f t="shared" si="15"/>
        <v>1215</v>
      </c>
      <c r="M18" s="187">
        <f t="shared" si="15"/>
        <v>111</v>
      </c>
      <c r="N18" s="187">
        <f t="shared" si="15"/>
        <v>745</v>
      </c>
      <c r="O18" s="187">
        <f t="shared" si="15"/>
        <v>0</v>
      </c>
      <c r="P18" s="187">
        <f t="shared" si="15"/>
        <v>46</v>
      </c>
      <c r="Q18" s="187">
        <f t="shared" si="15"/>
        <v>32</v>
      </c>
      <c r="R18" s="187">
        <f t="shared" si="15"/>
        <v>101</v>
      </c>
      <c r="S18" s="187">
        <f t="shared" si="15"/>
        <v>1147</v>
      </c>
      <c r="T18" s="187">
        <f t="shared" si="15"/>
        <v>917</v>
      </c>
      <c r="U18" s="187">
        <f t="shared" si="15"/>
        <v>883</v>
      </c>
      <c r="V18" s="187">
        <f t="shared" si="15"/>
        <v>1181</v>
      </c>
      <c r="W18" s="187">
        <f t="shared" si="15"/>
        <v>98</v>
      </c>
      <c r="X18" s="187">
        <f t="shared" si="15"/>
        <v>581</v>
      </c>
      <c r="Y18" s="187">
        <f t="shared" si="15"/>
        <v>0</v>
      </c>
      <c r="Z18" s="187">
        <f t="shared" si="15"/>
        <v>0</v>
      </c>
      <c r="AA18" s="187">
        <f t="shared" si="15"/>
        <v>0</v>
      </c>
      <c r="AB18" s="187">
        <f t="shared" si="15"/>
        <v>0</v>
      </c>
      <c r="AC18" s="187">
        <f t="shared" si="15"/>
        <v>0</v>
      </c>
      <c r="AD18" s="187">
        <f t="shared" si="15"/>
        <v>0</v>
      </c>
      <c r="AE18" s="187">
        <f t="shared" si="15"/>
        <v>0</v>
      </c>
      <c r="AF18" s="187">
        <f t="shared" si="15"/>
        <v>0</v>
      </c>
      <c r="AG18" s="187">
        <f t="shared" si="15"/>
        <v>0</v>
      </c>
      <c r="AH18" s="187">
        <f t="shared" si="15"/>
        <v>0</v>
      </c>
      <c r="AI18" s="187">
        <f t="shared" si="15"/>
        <v>0</v>
      </c>
      <c r="AJ18" s="187">
        <f t="shared" si="15"/>
        <v>0</v>
      </c>
      <c r="AK18" s="187">
        <f t="shared" si="15"/>
        <v>0</v>
      </c>
      <c r="AL18" s="187">
        <f t="shared" si="15"/>
        <v>0</v>
      </c>
      <c r="AM18" s="187">
        <f t="shared" si="15"/>
        <v>0</v>
      </c>
      <c r="AN18" s="187">
        <f t="shared" si="15"/>
        <v>0</v>
      </c>
      <c r="AO18" s="187">
        <f t="shared" si="15"/>
        <v>4</v>
      </c>
      <c r="AP18" s="187">
        <f t="shared" si="15"/>
        <v>3</v>
      </c>
      <c r="AQ18" s="187">
        <f t="shared" si="15"/>
        <v>3</v>
      </c>
      <c r="AR18" s="187">
        <f t="shared" si="15"/>
        <v>3</v>
      </c>
      <c r="AS18" s="187">
        <f t="shared" si="15"/>
        <v>0</v>
      </c>
      <c r="AT18" s="187">
        <f t="shared" si="15"/>
        <v>0</v>
      </c>
      <c r="AU18" s="207"/>
      <c r="AV18" s="132"/>
      <c r="AW18" s="207"/>
      <c r="AX18" s="132"/>
      <c r="AY18" s="187">
        <f>SUBTOTAL(9,AY14:AY17)</f>
        <v>1147</v>
      </c>
      <c r="AZ18" s="187">
        <f>SUBTOTAL(9,AZ14:AZ17)</f>
        <v>917</v>
      </c>
      <c r="BA18" s="187">
        <f>SUBTOTAL(9,BA14:BA17)</f>
        <v>883</v>
      </c>
      <c r="BB18" s="187">
        <f>SUBTOTAL(9,BB14:BB17)</f>
        <v>1181</v>
      </c>
      <c r="BC18" s="187">
        <f>SUBTOTAL(9,BC14:BC17)</f>
        <v>98</v>
      </c>
      <c r="BD18" s="208">
        <f>IF(ISNUMBER(BA18/AZ18),BA18/AZ18," - ")</f>
        <v>0.96292257360959654</v>
      </c>
      <c r="BE18" s="209">
        <f>IF(ISNUMBER(BB18/BA18),BB18/BA18, " - ")</f>
        <v>1.3374858437146093</v>
      </c>
      <c r="BF18" s="209">
        <f>IF(ISNUMBER(BC18/BA18),BC18/BA18, " - ")</f>
        <v>0.11098527746319366</v>
      </c>
      <c r="BG18" s="210">
        <f>IF(ISNUMBER((AY18+AZ18)/BA18),(AY18+AZ18)/BA18," - ")</f>
        <v>2.3374858437146093</v>
      </c>
      <c r="BH18" s="187">
        <f>SUBTOTAL(9,BH14:BH17)</f>
        <v>4</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3956</v>
      </c>
      <c r="J19" s="134">
        <f t="shared" si="18"/>
        <v>1821</v>
      </c>
      <c r="K19" s="134">
        <f t="shared" si="18"/>
        <v>1924</v>
      </c>
      <c r="L19" s="134">
        <f t="shared" si="18"/>
        <v>3861</v>
      </c>
      <c r="M19" s="134">
        <f t="shared" si="18"/>
        <v>331</v>
      </c>
      <c r="N19" s="134">
        <f t="shared" si="18"/>
        <v>1056</v>
      </c>
      <c r="O19" s="134">
        <f t="shared" si="18"/>
        <v>352</v>
      </c>
      <c r="P19" s="134">
        <f t="shared" si="18"/>
        <v>266</v>
      </c>
      <c r="Q19" s="134">
        <f t="shared" si="18"/>
        <v>285</v>
      </c>
      <c r="R19" s="134">
        <f t="shared" si="18"/>
        <v>3021</v>
      </c>
      <c r="S19" s="134">
        <f t="shared" si="18"/>
        <v>3746</v>
      </c>
      <c r="T19" s="134">
        <f t="shared" si="18"/>
        <v>1732</v>
      </c>
      <c r="U19" s="134">
        <f t="shared" si="18"/>
        <v>1762</v>
      </c>
      <c r="V19" s="134">
        <f t="shared" si="18"/>
        <v>3688</v>
      </c>
      <c r="W19" s="134">
        <f t="shared" si="18"/>
        <v>273</v>
      </c>
      <c r="X19" s="134">
        <f t="shared" si="18"/>
        <v>975</v>
      </c>
      <c r="Y19" s="134">
        <f t="shared" si="18"/>
        <v>91</v>
      </c>
      <c r="Z19" s="134">
        <f t="shared" si="18"/>
        <v>31</v>
      </c>
      <c r="AA19" s="134">
        <f t="shared" si="18"/>
        <v>62</v>
      </c>
      <c r="AB19" s="134">
        <f t="shared" si="18"/>
        <v>60</v>
      </c>
      <c r="AC19" s="134">
        <f t="shared" si="18"/>
        <v>0</v>
      </c>
      <c r="AD19" s="134">
        <f t="shared" si="18"/>
        <v>0</v>
      </c>
      <c r="AE19" s="134">
        <f t="shared" si="18"/>
        <v>0</v>
      </c>
      <c r="AF19" s="134">
        <f t="shared" si="18"/>
        <v>0</v>
      </c>
      <c r="AG19" s="134">
        <f t="shared" si="18"/>
        <v>116</v>
      </c>
      <c r="AH19" s="134">
        <f t="shared" si="18"/>
        <v>38</v>
      </c>
      <c r="AI19" s="134">
        <f t="shared" si="18"/>
        <v>57</v>
      </c>
      <c r="AJ19" s="134">
        <f t="shared" si="18"/>
        <v>67</v>
      </c>
      <c r="AK19" s="134">
        <f t="shared" si="18"/>
        <v>0</v>
      </c>
      <c r="AL19" s="134">
        <f t="shared" si="18"/>
        <v>0</v>
      </c>
      <c r="AM19" s="134">
        <f t="shared" si="18"/>
        <v>0</v>
      </c>
      <c r="AN19" s="213">
        <f t="shared" si="18"/>
        <v>0</v>
      </c>
      <c r="AO19" s="214">
        <v>4</v>
      </c>
      <c r="AP19" s="214">
        <v>3</v>
      </c>
      <c r="AQ19" s="214">
        <v>3</v>
      </c>
      <c r="AR19" s="214">
        <v>3</v>
      </c>
      <c r="AS19" s="156">
        <f t="shared" si="18"/>
        <v>0</v>
      </c>
      <c r="AT19" s="156">
        <f t="shared" si="18"/>
        <v>0</v>
      </c>
      <c r="AU19" s="214"/>
      <c r="AV19" s="215"/>
      <c r="AW19" s="214"/>
      <c r="AX19" s="215"/>
      <c r="AY19" s="133">
        <f>SUBTOTAL(9,AY9:AY18)</f>
        <v>3862</v>
      </c>
      <c r="AZ19" s="134">
        <f>SUBTOTAL(9,AZ9:AZ18)</f>
        <v>1770</v>
      </c>
      <c r="BA19" s="134">
        <f>SUBTOTAL(9,BA9:BA18)</f>
        <v>1819</v>
      </c>
      <c r="BB19" s="134">
        <f>SUBTOTAL(9,BB9:BB18)</f>
        <v>3755</v>
      </c>
      <c r="BC19" s="135">
        <f>SUBTOTAL(9,BC9:BC18)</f>
        <v>495</v>
      </c>
      <c r="BD19" s="216">
        <f>IF(ISNUMBER(BA19/AZ19),BA19/AZ19," - ")</f>
        <v>1.0276836158192091</v>
      </c>
      <c r="BE19" s="213">
        <f>IF(ISNUMBER(BB19/BA19),BB19/BA19, " - ")</f>
        <v>2.0643210555250135</v>
      </c>
      <c r="BF19" s="213">
        <f>IF(ISNUMBER(BC19/BA19),BC19/BA19, " - ")</f>
        <v>0.27212754260582739</v>
      </c>
      <c r="BG19" s="135">
        <f>IF(ISNUMBER((AY19+AZ19)/BA19),(AY19+AZ19)/BA19," - ")</f>
        <v>3.096206706981858</v>
      </c>
      <c r="BH19" s="214">
        <f>SUBTOTAL(9,BH9:BH18)</f>
        <v>8</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DZQXnxbh+u2jLgy/hTJIUFfSF1+m2vCApjCRVDKGjDqFEvQyCGm6UMK50FijAJCKuOhAlvMuXeWF/iDE9eW2xA==" saltValue="tx6lZBySvPSjQASa62XWwQ=="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5:BI15 BH12:BI12 BJ11:BJ12 BJ15:BJ17 BV11:BX11 CA11:CD11 CK15:CR17 CS17:CU17 CS15:CU15 CS12:CU12 CK11:CR12 AO10 AQ10 AO12:AR12 AQ17 AO15:AR15 Y10:AB10 S15:AN17 S9:X12 AC10:AN12 AC9:AX9 BT16:BU16 BK17:BX17 CA17:CJ17 AS9:AX12 AS15:AX17 BK12:BX12 CA12:CJ12 CV15:DL17 CV11:DL12 BJ10:DL10 BK15:CJ15 BH9:EA9 EB15:EK17 EO10 EO17 EP9:EQ12 EP15:EQ17 EV9:EW12 EV15:EW17 DF9:DF12 DM10:EN12 ES9:ES12 EX10:EY12">
    <cfRule type="cellIs" dxfId="1160" priority="2275" stopIfTrue="1" operator="equal">
      <formula>$A$31</formula>
    </cfRule>
  </conditionalFormatting>
  <conditionalFormatting sqref="BD14:BG14 I8:DF8 I1:DG1 BH18:EJ18 I18:BC18 I13:BC14 DJ8 BH13:DL14 I19:DL19 EM13:EN13 EP14:EQ14 EO13:EO14 EO18:EO19 EV14:EW14 EV18:EW18 EX19:EY19">
    <cfRule type="cellIs" dxfId="1159" priority="2276" stopIfTrue="1" operator="equal">
      <formula>$A$31</formula>
    </cfRule>
  </conditionalFormatting>
  <conditionalFormatting sqref="BH10:BI11 BH16:BI17 CE11:CJ11 CO11 CO16 CS16:DD16 AP17 AR10 AP10 AR17 AP16:AR16 AO16:AO17 Y11:AB12 I9:R9 Y9:AB9 I17:R17 BK11:BU11 BK16:BX16 AO11:AS11 AU11 I15:O16 CA16:CJ16 I11:R12 CS11:DG11 EP11:EQ11 EP16:EQ16 EV16:EW16">
    <cfRule type="cellIs" dxfId="1158" priority="2277" stopIfTrue="1" operator="equal">
      <formula>$A$30</formula>
    </cfRule>
  </conditionalFormatting>
  <conditionalFormatting sqref="BT16:BU16">
    <cfRule type="cellIs" dxfId="1157" priority="2081" stopIfTrue="1" operator="equal">
      <formula>$A$31</formula>
    </cfRule>
  </conditionalFormatting>
  <conditionalFormatting sqref="DE16">
    <cfRule type="cellIs" dxfId="1156" priority="2078" stopIfTrue="1" operator="equal">
      <formula>$A$30</formula>
    </cfRule>
  </conditionalFormatting>
  <conditionalFormatting sqref="BN16:BU16">
    <cfRule type="cellIs" dxfId="1155" priority="2075" stopIfTrue="1" operator="equal">
      <formula>$A$30</formula>
    </cfRule>
  </conditionalFormatting>
  <conditionalFormatting sqref="DB16:DE16">
    <cfRule type="cellIs" dxfId="1154" priority="2068" stopIfTrue="1" operator="equal">
      <formula>$A$30</formula>
    </cfRule>
  </conditionalFormatting>
  <conditionalFormatting sqref="DB16:DE16">
    <cfRule type="cellIs" dxfId="1153" priority="2064" stopIfTrue="1" operator="equal">
      <formula>$A$30</formula>
    </cfRule>
  </conditionalFormatting>
  <conditionalFormatting sqref="DB15">
    <cfRule type="cellIs" dxfId="1152" priority="2062" stopIfTrue="1" operator="equal">
      <formula>$A$30</formula>
    </cfRule>
  </conditionalFormatting>
  <conditionalFormatting sqref="DE17">
    <cfRule type="cellIs" dxfId="1151" priority="2061" stopIfTrue="1" operator="equal">
      <formula>$A$30</formula>
    </cfRule>
  </conditionalFormatting>
  <conditionalFormatting sqref="DB15:DE17">
    <cfRule type="cellIs" dxfId="1150" priority="2057" stopIfTrue="1" operator="equal">
      <formula>$A$31</formula>
    </cfRule>
  </conditionalFormatting>
  <conditionalFormatting sqref="DB13:DE14">
    <cfRule type="cellIs" dxfId="1149" priority="2056" stopIfTrue="1" operator="equal">
      <formula>$A$31</formula>
    </cfRule>
  </conditionalFormatting>
  <conditionalFormatting sqref="DB16:DE16">
    <cfRule type="cellIs" dxfId="1148" priority="2055" stopIfTrue="1" operator="equal">
      <formula>$A$30</formula>
    </cfRule>
  </conditionalFormatting>
  <conditionalFormatting sqref="DB15:DE17">
    <cfRule type="cellIs" dxfId="1147" priority="2053" stopIfTrue="1" operator="equal">
      <formula>$A$31</formula>
    </cfRule>
  </conditionalFormatting>
  <conditionalFormatting sqref="DB13:DE14">
    <cfRule type="cellIs" dxfId="1146" priority="2052" stopIfTrue="1" operator="equal">
      <formula>$A$31</formula>
    </cfRule>
  </conditionalFormatting>
  <conditionalFormatting sqref="DB16:DE16">
    <cfRule type="cellIs" dxfId="1145" priority="2051" stopIfTrue="1" operator="equal">
      <formula>$A$30</formula>
    </cfRule>
  </conditionalFormatting>
  <conditionalFormatting sqref="DB15">
    <cfRule type="cellIs" dxfId="1144" priority="2049" stopIfTrue="1" operator="equal">
      <formula>$A$30</formula>
    </cfRule>
  </conditionalFormatting>
  <conditionalFormatting sqref="DE17">
    <cfRule type="cellIs" dxfId="1143" priority="2048" stopIfTrue="1" operator="equal">
      <formula>$A$30</formula>
    </cfRule>
  </conditionalFormatting>
  <conditionalFormatting sqref="DF1:DG1">
    <cfRule type="cellIs" dxfId="1142" priority="2040" stopIfTrue="1" operator="equal">
      <formula>$A$31</formula>
    </cfRule>
  </conditionalFormatting>
  <conditionalFormatting sqref="DF16">
    <cfRule type="cellIs" dxfId="1141" priority="2037" stopIfTrue="1" operator="equal">
      <formula>$A$30</formula>
    </cfRule>
  </conditionalFormatting>
  <conditionalFormatting sqref="DF16">
    <cfRule type="cellIs" dxfId="1140" priority="2034" stopIfTrue="1" operator="equal">
      <formula>$A$30</formula>
    </cfRule>
  </conditionalFormatting>
  <conditionalFormatting sqref="DF16">
    <cfRule type="cellIs" dxfId="1139" priority="2031" stopIfTrue="1" operator="equal">
      <formula>$A$30</formula>
    </cfRule>
  </conditionalFormatting>
  <conditionalFormatting sqref="DF17">
    <cfRule type="cellIs" dxfId="1138" priority="2030" stopIfTrue="1" operator="equal">
      <formula>$A$30</formula>
    </cfRule>
  </conditionalFormatting>
  <conditionalFormatting sqref="DF15:DF17">
    <cfRule type="cellIs" dxfId="1137" priority="2026" stopIfTrue="1" operator="equal">
      <formula>$A$31</formula>
    </cfRule>
  </conditionalFormatting>
  <conditionalFormatting sqref="DF13:DF14">
    <cfRule type="cellIs" dxfId="1136" priority="2025" stopIfTrue="1" operator="equal">
      <formula>$A$31</formula>
    </cfRule>
  </conditionalFormatting>
  <conditionalFormatting sqref="DF16">
    <cfRule type="cellIs" dxfId="1135" priority="2024" stopIfTrue="1" operator="equal">
      <formula>$A$30</formula>
    </cfRule>
  </conditionalFormatting>
  <conditionalFormatting sqref="DF15:DF17">
    <cfRule type="cellIs" dxfId="1134" priority="2023" stopIfTrue="1" operator="equal">
      <formula>$A$31</formula>
    </cfRule>
  </conditionalFormatting>
  <conditionalFormatting sqref="DF13:DF14">
    <cfRule type="cellIs" dxfId="1133" priority="2022" stopIfTrue="1" operator="equal">
      <formula>$A$31</formula>
    </cfRule>
  </conditionalFormatting>
  <conditionalFormatting sqref="DF16">
    <cfRule type="cellIs" dxfId="1132" priority="2021" stopIfTrue="1" operator="equal">
      <formula>$A$30</formula>
    </cfRule>
  </conditionalFormatting>
  <conditionalFormatting sqref="DF17">
    <cfRule type="cellIs" dxfId="1131" priority="2020" stopIfTrue="1" operator="equal">
      <formula>$A$30</formula>
    </cfRule>
  </conditionalFormatting>
  <conditionalFormatting sqref="DB16:DE16">
    <cfRule type="cellIs" dxfId="1130" priority="2016" stopIfTrue="1" operator="equal">
      <formula>$A$30</formula>
    </cfRule>
  </conditionalFormatting>
  <conditionalFormatting sqref="DB16:DE16">
    <cfRule type="cellIs" dxfId="1129" priority="2012" stopIfTrue="1" operator="equal">
      <formula>$A$30</formula>
    </cfRule>
  </conditionalFormatting>
  <conditionalFormatting sqref="DB15">
    <cfRule type="cellIs" dxfId="1128" priority="2010" stopIfTrue="1" operator="equal">
      <formula>$A$30</formula>
    </cfRule>
  </conditionalFormatting>
  <conditionalFormatting sqref="DE17">
    <cfRule type="cellIs" dxfId="1127" priority="2009" stopIfTrue="1" operator="equal">
      <formula>$A$30</formula>
    </cfRule>
  </conditionalFormatting>
  <conditionalFormatting sqref="DF16">
    <cfRule type="cellIs" dxfId="1126" priority="1997" stopIfTrue="1" operator="equal">
      <formula>$A$30</formula>
    </cfRule>
  </conditionalFormatting>
  <conditionalFormatting sqref="DF16">
    <cfRule type="cellIs" dxfId="1125" priority="1994" stopIfTrue="1" operator="equal">
      <formula>$A$30</formula>
    </cfRule>
  </conditionalFormatting>
  <conditionalFormatting sqref="DF16">
    <cfRule type="cellIs" dxfId="1124" priority="1991" stopIfTrue="1" operator="equal">
      <formula>$A$30</formula>
    </cfRule>
  </conditionalFormatting>
  <conditionalFormatting sqref="DF17">
    <cfRule type="cellIs" dxfId="1123" priority="1990" stopIfTrue="1" operator="equal">
      <formula>$A$30</formula>
    </cfRule>
  </conditionalFormatting>
  <conditionalFormatting sqref="DF13:DF14">
    <cfRule type="cellIs" dxfId="1122" priority="1985" stopIfTrue="1" operator="equal">
      <formula>$A$31</formula>
    </cfRule>
  </conditionalFormatting>
  <conditionalFormatting sqref="DF16">
    <cfRule type="cellIs" dxfId="1121" priority="1984" stopIfTrue="1" operator="equal">
      <formula>$A$30</formula>
    </cfRule>
  </conditionalFormatting>
  <conditionalFormatting sqref="DF13:DF14">
    <cfRule type="cellIs" dxfId="1120" priority="1982" stopIfTrue="1" operator="equal">
      <formula>$A$31</formula>
    </cfRule>
  </conditionalFormatting>
  <conditionalFormatting sqref="DF16">
    <cfRule type="cellIs" dxfId="1119" priority="1981" stopIfTrue="1" operator="equal">
      <formula>$A$30</formula>
    </cfRule>
  </conditionalFormatting>
  <conditionalFormatting sqref="DF17">
    <cfRule type="cellIs" dxfId="1118" priority="1980" stopIfTrue="1" operator="equal">
      <formula>$A$30</formula>
    </cfRule>
  </conditionalFormatting>
  <conditionalFormatting sqref="DB16:DE16">
    <cfRule type="cellIs" dxfId="1117" priority="1973" stopIfTrue="1" operator="equal">
      <formula>$A$30</formula>
    </cfRule>
  </conditionalFormatting>
  <conditionalFormatting sqref="DB16:DE16">
    <cfRule type="cellIs" dxfId="1116" priority="1969" stopIfTrue="1" operator="equal">
      <formula>$A$30</formula>
    </cfRule>
  </conditionalFormatting>
  <conditionalFormatting sqref="DB15">
    <cfRule type="cellIs" dxfId="1115" priority="1967" stopIfTrue="1" operator="equal">
      <formula>$A$30</formula>
    </cfRule>
  </conditionalFormatting>
  <conditionalFormatting sqref="DE17">
    <cfRule type="cellIs" dxfId="1114" priority="1966" stopIfTrue="1" operator="equal">
      <formula>$A$30</formula>
    </cfRule>
  </conditionalFormatting>
  <conditionalFormatting sqref="DF16">
    <cfRule type="cellIs" dxfId="1113" priority="1954" stopIfTrue="1" operator="equal">
      <formula>$A$30</formula>
    </cfRule>
  </conditionalFormatting>
  <conditionalFormatting sqref="DF16">
    <cfRule type="cellIs" dxfId="1112" priority="1951" stopIfTrue="1" operator="equal">
      <formula>$A$30</formula>
    </cfRule>
  </conditionalFormatting>
  <conditionalFormatting sqref="DF16">
    <cfRule type="cellIs" dxfId="1111" priority="1948" stopIfTrue="1" operator="equal">
      <formula>$A$30</formula>
    </cfRule>
  </conditionalFormatting>
  <conditionalFormatting sqref="DF17">
    <cfRule type="cellIs" dxfId="1110" priority="1947" stopIfTrue="1" operator="equal">
      <formula>$A$30</formula>
    </cfRule>
  </conditionalFormatting>
  <conditionalFormatting sqref="DF13:DF14">
    <cfRule type="cellIs" dxfId="1109" priority="1942" stopIfTrue="1" operator="equal">
      <formula>$A$31</formula>
    </cfRule>
  </conditionalFormatting>
  <conditionalFormatting sqref="DF16">
    <cfRule type="cellIs" dxfId="1108" priority="1941" stopIfTrue="1" operator="equal">
      <formula>$A$30</formula>
    </cfRule>
  </conditionalFormatting>
  <conditionalFormatting sqref="DF13:DF14">
    <cfRule type="cellIs" dxfId="1107" priority="1939" stopIfTrue="1" operator="equal">
      <formula>$A$31</formula>
    </cfRule>
  </conditionalFormatting>
  <conditionalFormatting sqref="DF16">
    <cfRule type="cellIs" dxfId="1106" priority="1938" stopIfTrue="1" operator="equal">
      <formula>$A$30</formula>
    </cfRule>
  </conditionalFormatting>
  <conditionalFormatting sqref="DF17">
    <cfRule type="cellIs" dxfId="1105" priority="1937" stopIfTrue="1" operator="equal">
      <formula>$A$30</formula>
    </cfRule>
  </conditionalFormatting>
  <conditionalFormatting sqref="DB16:DE16">
    <cfRule type="cellIs" dxfId="1104" priority="1933" stopIfTrue="1" operator="equal">
      <formula>$A$30</formula>
    </cfRule>
  </conditionalFormatting>
  <conditionalFormatting sqref="DB16:DE16">
    <cfRule type="cellIs" dxfId="1103" priority="1929" stopIfTrue="1" operator="equal">
      <formula>$A$30</formula>
    </cfRule>
  </conditionalFormatting>
  <conditionalFormatting sqref="DB15">
    <cfRule type="cellIs" dxfId="1102" priority="1927" stopIfTrue="1" operator="equal">
      <formula>$A$30</formula>
    </cfRule>
  </conditionalFormatting>
  <conditionalFormatting sqref="DE17">
    <cfRule type="cellIs" dxfId="1101" priority="1926" stopIfTrue="1" operator="equal">
      <formula>$A$30</formula>
    </cfRule>
  </conditionalFormatting>
  <conditionalFormatting sqref="DF16">
    <cfRule type="cellIs" dxfId="1100" priority="1914" stopIfTrue="1" operator="equal">
      <formula>$A$30</formula>
    </cfRule>
  </conditionalFormatting>
  <conditionalFormatting sqref="DF16">
    <cfRule type="cellIs" dxfId="1099" priority="1911" stopIfTrue="1" operator="equal">
      <formula>$A$30</formula>
    </cfRule>
  </conditionalFormatting>
  <conditionalFormatting sqref="DF16">
    <cfRule type="cellIs" dxfId="1098" priority="1908" stopIfTrue="1" operator="equal">
      <formula>$A$30</formula>
    </cfRule>
  </conditionalFormatting>
  <conditionalFormatting sqref="DF17">
    <cfRule type="cellIs" dxfId="1097" priority="1907" stopIfTrue="1" operator="equal">
      <formula>$A$30</formula>
    </cfRule>
  </conditionalFormatting>
  <conditionalFormatting sqref="DF13:DF14">
    <cfRule type="cellIs" dxfId="1096" priority="1902" stopIfTrue="1" operator="equal">
      <formula>$A$31</formula>
    </cfRule>
  </conditionalFormatting>
  <conditionalFormatting sqref="DF16">
    <cfRule type="cellIs" dxfId="1095" priority="1901" stopIfTrue="1" operator="equal">
      <formula>$A$30</formula>
    </cfRule>
  </conditionalFormatting>
  <conditionalFormatting sqref="DF13:DF14">
    <cfRule type="cellIs" dxfId="1094" priority="1899" stopIfTrue="1" operator="equal">
      <formula>$A$31</formula>
    </cfRule>
  </conditionalFormatting>
  <conditionalFormatting sqref="DF16">
    <cfRule type="cellIs" dxfId="1093" priority="1898" stopIfTrue="1" operator="equal">
      <formula>$A$30</formula>
    </cfRule>
  </conditionalFormatting>
  <conditionalFormatting sqref="DF17">
    <cfRule type="cellIs" dxfId="1092" priority="1897" stopIfTrue="1" operator="equal">
      <formula>$A$30</formula>
    </cfRule>
  </conditionalFormatting>
  <conditionalFormatting sqref="DB16:DE16">
    <cfRule type="cellIs" dxfId="1091" priority="1893" stopIfTrue="1" operator="equal">
      <formula>$A$30</formula>
    </cfRule>
  </conditionalFormatting>
  <conditionalFormatting sqref="DB16:DE16">
    <cfRule type="cellIs" dxfId="1090" priority="1889" stopIfTrue="1" operator="equal">
      <formula>$A$30</formula>
    </cfRule>
  </conditionalFormatting>
  <conditionalFormatting sqref="DB15">
    <cfRule type="cellIs" dxfId="1089" priority="1887" stopIfTrue="1" operator="equal">
      <formula>$A$30</formula>
    </cfRule>
  </conditionalFormatting>
  <conditionalFormatting sqref="DE17">
    <cfRule type="cellIs" dxfId="1088" priority="1886" stopIfTrue="1" operator="equal">
      <formula>$A$30</formula>
    </cfRule>
  </conditionalFormatting>
  <conditionalFormatting sqref="DF16">
    <cfRule type="cellIs" dxfId="1087" priority="1874" stopIfTrue="1" operator="equal">
      <formula>$A$30</formula>
    </cfRule>
  </conditionalFormatting>
  <conditionalFormatting sqref="DF16">
    <cfRule type="cellIs" dxfId="1086" priority="1871" stopIfTrue="1" operator="equal">
      <formula>$A$30</formula>
    </cfRule>
  </conditionalFormatting>
  <conditionalFormatting sqref="DF16">
    <cfRule type="cellIs" dxfId="1085" priority="1868" stopIfTrue="1" operator="equal">
      <formula>$A$30</formula>
    </cfRule>
  </conditionalFormatting>
  <conditionalFormatting sqref="DF17">
    <cfRule type="cellIs" dxfId="1084" priority="1867" stopIfTrue="1" operator="equal">
      <formula>$A$30</formula>
    </cfRule>
  </conditionalFormatting>
  <conditionalFormatting sqref="DF13:DF14">
    <cfRule type="cellIs" dxfId="1083" priority="1862" stopIfTrue="1" operator="equal">
      <formula>$A$31</formula>
    </cfRule>
  </conditionalFormatting>
  <conditionalFormatting sqref="DF16">
    <cfRule type="cellIs" dxfId="1082" priority="1861" stopIfTrue="1" operator="equal">
      <formula>$A$30</formula>
    </cfRule>
  </conditionalFormatting>
  <conditionalFormatting sqref="DF13:DF14">
    <cfRule type="cellIs" dxfId="1081" priority="1859" stopIfTrue="1" operator="equal">
      <formula>$A$31</formula>
    </cfRule>
  </conditionalFormatting>
  <conditionalFormatting sqref="DF16">
    <cfRule type="cellIs" dxfId="1080" priority="1858" stopIfTrue="1" operator="equal">
      <formula>$A$30</formula>
    </cfRule>
  </conditionalFormatting>
  <conditionalFormatting sqref="DF17">
    <cfRule type="cellIs" dxfId="1079" priority="1857" stopIfTrue="1" operator="equal">
      <formula>$A$30</formula>
    </cfRule>
  </conditionalFormatting>
  <conditionalFormatting sqref="DB16:DD16">
    <cfRule type="cellIs" dxfId="1078" priority="1850" stopIfTrue="1" operator="equal">
      <formula>$A$30</formula>
    </cfRule>
  </conditionalFormatting>
  <conditionalFormatting sqref="DB16:DD16">
    <cfRule type="cellIs" dxfId="1077" priority="1846" stopIfTrue="1" operator="equal">
      <formula>$A$30</formula>
    </cfRule>
  </conditionalFormatting>
  <conditionalFormatting sqref="DB15">
    <cfRule type="cellIs" dxfId="1076" priority="1844" stopIfTrue="1" operator="equal">
      <formula>$A$30</formula>
    </cfRule>
  </conditionalFormatting>
  <conditionalFormatting sqref="AS16">
    <cfRule type="cellIs" dxfId="1075" priority="1837" stopIfTrue="1" operator="equal">
      <formula>$A$30</formula>
    </cfRule>
  </conditionalFormatting>
  <conditionalFormatting sqref="AS16">
    <cfRule type="cellIs" dxfId="1074" priority="1834" stopIfTrue="1" operator="equal">
      <formula>$A$30</formula>
    </cfRule>
  </conditionalFormatting>
  <conditionalFormatting sqref="AS16">
    <cfRule type="cellIs" dxfId="1073" priority="1831" stopIfTrue="1" operator="equal">
      <formula>$A$30</formula>
    </cfRule>
  </conditionalFormatting>
  <conditionalFormatting sqref="AS15">
    <cfRule type="cellIs" dxfId="1072" priority="1830" stopIfTrue="1" operator="equal">
      <formula>$A$30</formula>
    </cfRule>
  </conditionalFormatting>
  <conditionalFormatting sqref="AS15:AS17">
    <cfRule type="cellIs" dxfId="1071" priority="1829" stopIfTrue="1" operator="equal">
      <formula>$A$31</formula>
    </cfRule>
  </conditionalFormatting>
  <conditionalFormatting sqref="AS13:AS14">
    <cfRule type="cellIs" dxfId="1070" priority="1828" stopIfTrue="1" operator="equal">
      <formula>$A$31</formula>
    </cfRule>
  </conditionalFormatting>
  <conditionalFormatting sqref="AS16">
    <cfRule type="cellIs" dxfId="1069" priority="1827" stopIfTrue="1" operator="equal">
      <formula>$A$30</formula>
    </cfRule>
  </conditionalFormatting>
  <conditionalFormatting sqref="AS15:AS17">
    <cfRule type="cellIs" dxfId="1068" priority="1826" stopIfTrue="1" operator="equal">
      <formula>$A$31</formula>
    </cfRule>
  </conditionalFormatting>
  <conditionalFormatting sqref="AS13:AS14">
    <cfRule type="cellIs" dxfId="1067" priority="1825" stopIfTrue="1" operator="equal">
      <formula>$A$31</formula>
    </cfRule>
  </conditionalFormatting>
  <conditionalFormatting sqref="AS16">
    <cfRule type="cellIs" dxfId="1066" priority="1824" stopIfTrue="1" operator="equal">
      <formula>$A$30</formula>
    </cfRule>
  </conditionalFormatting>
  <conditionalFormatting sqref="AS15">
    <cfRule type="cellIs" dxfId="1065" priority="1823" stopIfTrue="1" operator="equal">
      <formula>$A$30</formula>
    </cfRule>
  </conditionalFormatting>
  <conditionalFormatting sqref="AS16">
    <cfRule type="cellIs" dxfId="1064" priority="1814" stopIfTrue="1" operator="equal">
      <formula>$A$30</formula>
    </cfRule>
  </conditionalFormatting>
  <conditionalFormatting sqref="AS16">
    <cfRule type="cellIs" dxfId="1063" priority="1811" stopIfTrue="1" operator="equal">
      <formula>$A$30</formula>
    </cfRule>
  </conditionalFormatting>
  <conditionalFormatting sqref="AS15">
    <cfRule type="cellIs" dxfId="1062" priority="1810" stopIfTrue="1" operator="equal">
      <formula>$A$30</formula>
    </cfRule>
  </conditionalFormatting>
  <conditionalFormatting sqref="AS16">
    <cfRule type="cellIs" dxfId="1061" priority="1801" stopIfTrue="1" operator="equal">
      <formula>$A$30</formula>
    </cfRule>
  </conditionalFormatting>
  <conditionalFormatting sqref="AS16">
    <cfRule type="cellIs" dxfId="1060" priority="1798" stopIfTrue="1" operator="equal">
      <formula>$A$30</formula>
    </cfRule>
  </conditionalFormatting>
  <conditionalFormatting sqref="AS15">
    <cfRule type="cellIs" dxfId="1059" priority="1797" stopIfTrue="1" operator="equal">
      <formula>$A$30</formula>
    </cfRule>
  </conditionalFormatting>
  <conditionalFormatting sqref="AS16">
    <cfRule type="cellIs" dxfId="1058" priority="1788" stopIfTrue="1" operator="equal">
      <formula>$A$30</formula>
    </cfRule>
  </conditionalFormatting>
  <conditionalFormatting sqref="AS16">
    <cfRule type="cellIs" dxfId="1057" priority="1785" stopIfTrue="1" operator="equal">
      <formula>$A$30</formula>
    </cfRule>
  </conditionalFormatting>
  <conditionalFormatting sqref="AS15">
    <cfRule type="cellIs" dxfId="1056" priority="1784" stopIfTrue="1" operator="equal">
      <formula>$A$30</formula>
    </cfRule>
  </conditionalFormatting>
  <conditionalFormatting sqref="AS16">
    <cfRule type="cellIs" dxfId="1055" priority="1775" stopIfTrue="1" operator="equal">
      <formula>$A$30</formula>
    </cfRule>
  </conditionalFormatting>
  <conditionalFormatting sqref="AS16">
    <cfRule type="cellIs" dxfId="1054" priority="1772" stopIfTrue="1" operator="equal">
      <formula>$A$30</formula>
    </cfRule>
  </conditionalFormatting>
  <conditionalFormatting sqref="AS15">
    <cfRule type="cellIs" dxfId="1053" priority="1771" stopIfTrue="1" operator="equal">
      <formula>$A$30</formula>
    </cfRule>
  </conditionalFormatting>
  <conditionalFormatting sqref="AS16">
    <cfRule type="cellIs" dxfId="1052" priority="1762" stopIfTrue="1" operator="equal">
      <formula>$A$30</formula>
    </cfRule>
  </conditionalFormatting>
  <conditionalFormatting sqref="AS16">
    <cfRule type="cellIs" dxfId="1051" priority="1759" stopIfTrue="1" operator="equal">
      <formula>$A$30</formula>
    </cfRule>
  </conditionalFormatting>
  <conditionalFormatting sqref="AS15">
    <cfRule type="cellIs" dxfId="1050" priority="1758" stopIfTrue="1" operator="equal">
      <formula>$A$30</formula>
    </cfRule>
  </conditionalFormatting>
  <conditionalFormatting sqref="AU16">
    <cfRule type="cellIs" dxfId="1049" priority="1751" stopIfTrue="1" operator="equal">
      <formula>$A$30</formula>
    </cfRule>
  </conditionalFormatting>
  <conditionalFormatting sqref="AU16">
    <cfRule type="cellIs" dxfId="1048" priority="1748" stopIfTrue="1" operator="equal">
      <formula>$A$30</formula>
    </cfRule>
  </conditionalFormatting>
  <conditionalFormatting sqref="AU16">
    <cfRule type="cellIs" dxfId="1047" priority="1745" stopIfTrue="1" operator="equal">
      <formula>$A$30</formula>
    </cfRule>
  </conditionalFormatting>
  <conditionalFormatting sqref="AU15">
    <cfRule type="cellIs" dxfId="1046" priority="1744" stopIfTrue="1" operator="equal">
      <formula>$A$30</formula>
    </cfRule>
  </conditionalFormatting>
  <conditionalFormatting sqref="AU13:AU14">
    <cfRule type="cellIs" dxfId="1045" priority="1742" stopIfTrue="1" operator="equal">
      <formula>$A$31</formula>
    </cfRule>
  </conditionalFormatting>
  <conditionalFormatting sqref="AU16">
    <cfRule type="cellIs" dxfId="1044" priority="1741" stopIfTrue="1" operator="equal">
      <formula>$A$30</formula>
    </cfRule>
  </conditionalFormatting>
  <conditionalFormatting sqref="AU13:AU14">
    <cfRule type="cellIs" dxfId="1043" priority="1739" stopIfTrue="1" operator="equal">
      <formula>$A$31</formula>
    </cfRule>
  </conditionalFormatting>
  <conditionalFormatting sqref="AU16">
    <cfRule type="cellIs" dxfId="1042" priority="1738" stopIfTrue="1" operator="equal">
      <formula>$A$30</formula>
    </cfRule>
  </conditionalFormatting>
  <conditionalFormatting sqref="AU15">
    <cfRule type="cellIs" dxfId="1041" priority="1737" stopIfTrue="1" operator="equal">
      <formula>$A$30</formula>
    </cfRule>
  </conditionalFormatting>
  <conditionalFormatting sqref="AU16">
    <cfRule type="cellIs" dxfId="1040" priority="1728" stopIfTrue="1" operator="equal">
      <formula>$A$30</formula>
    </cfRule>
  </conditionalFormatting>
  <conditionalFormatting sqref="AU16">
    <cfRule type="cellIs" dxfId="1039" priority="1725" stopIfTrue="1" operator="equal">
      <formula>$A$30</formula>
    </cfRule>
  </conditionalFormatting>
  <conditionalFormatting sqref="AU15">
    <cfRule type="cellIs" dxfId="1038" priority="1724" stopIfTrue="1" operator="equal">
      <formula>$A$30</formula>
    </cfRule>
  </conditionalFormatting>
  <conditionalFormatting sqref="AU16">
    <cfRule type="cellIs" dxfId="1037" priority="1715" stopIfTrue="1" operator="equal">
      <formula>$A$30</formula>
    </cfRule>
  </conditionalFormatting>
  <conditionalFormatting sqref="AU16">
    <cfRule type="cellIs" dxfId="1036" priority="1712" stopIfTrue="1" operator="equal">
      <formula>$A$30</formula>
    </cfRule>
  </conditionalFormatting>
  <conditionalFormatting sqref="AU15">
    <cfRule type="cellIs" dxfId="1035" priority="1711" stopIfTrue="1" operator="equal">
      <formula>$A$30</formula>
    </cfRule>
  </conditionalFormatting>
  <conditionalFormatting sqref="AU16">
    <cfRule type="cellIs" dxfId="1034" priority="1702" stopIfTrue="1" operator="equal">
      <formula>$A$30</formula>
    </cfRule>
  </conditionalFormatting>
  <conditionalFormatting sqref="AU16">
    <cfRule type="cellIs" dxfId="1033" priority="1699" stopIfTrue="1" operator="equal">
      <formula>$A$30</formula>
    </cfRule>
  </conditionalFormatting>
  <conditionalFormatting sqref="AU15">
    <cfRule type="cellIs" dxfId="1032" priority="1698" stopIfTrue="1" operator="equal">
      <formula>$A$30</formula>
    </cfRule>
  </conditionalFormatting>
  <conditionalFormatting sqref="AU16">
    <cfRule type="cellIs" dxfId="1031" priority="1689" stopIfTrue="1" operator="equal">
      <formula>$A$30</formula>
    </cfRule>
  </conditionalFormatting>
  <conditionalFormatting sqref="AU16">
    <cfRule type="cellIs" dxfId="1030" priority="1686" stopIfTrue="1" operator="equal">
      <formula>$A$30</formula>
    </cfRule>
  </conditionalFormatting>
  <conditionalFormatting sqref="AU15">
    <cfRule type="cellIs" dxfId="1029" priority="1685" stopIfTrue="1" operator="equal">
      <formula>$A$30</formula>
    </cfRule>
  </conditionalFormatting>
  <conditionalFormatting sqref="AU16">
    <cfRule type="cellIs" dxfId="1028" priority="1676" stopIfTrue="1" operator="equal">
      <formula>$A$30</formula>
    </cfRule>
  </conditionalFormatting>
  <conditionalFormatting sqref="AU16">
    <cfRule type="cellIs" dxfId="1027" priority="1673" stopIfTrue="1" operator="equal">
      <formula>$A$30</formula>
    </cfRule>
  </conditionalFormatting>
  <conditionalFormatting sqref="AU15">
    <cfRule type="cellIs" dxfId="1026" priority="1672" stopIfTrue="1" operator="equal">
      <formula>$A$30</formula>
    </cfRule>
  </conditionalFormatting>
  <conditionalFormatting sqref="AW11">
    <cfRule type="cellIs" dxfId="1025" priority="1665" stopIfTrue="1" operator="equal">
      <formula>$A$30</formula>
    </cfRule>
  </conditionalFormatting>
  <conditionalFormatting sqref="AW11">
    <cfRule type="cellIs" dxfId="1024" priority="1663" stopIfTrue="1" operator="equal">
      <formula>$A$30</formula>
    </cfRule>
  </conditionalFormatting>
  <conditionalFormatting sqref="AW11">
    <cfRule type="cellIs" dxfId="1023" priority="1661" stopIfTrue="1" operator="equal">
      <formula>$A$30</formula>
    </cfRule>
  </conditionalFormatting>
  <conditionalFormatting sqref="AW11">
    <cfRule type="cellIs" dxfId="1022" priority="1659" stopIfTrue="1" operator="equal">
      <formula>$A$30</formula>
    </cfRule>
  </conditionalFormatting>
  <conditionalFormatting sqref="AW11">
    <cfRule type="cellIs" dxfId="1021" priority="1657" stopIfTrue="1" operator="equal">
      <formula>$A$30</formula>
    </cfRule>
  </conditionalFormatting>
  <conditionalFormatting sqref="AW11">
    <cfRule type="cellIs" dxfId="1020" priority="1655" stopIfTrue="1" operator="equal">
      <formula>$A$30</formula>
    </cfRule>
  </conditionalFormatting>
  <conditionalFormatting sqref="AW11">
    <cfRule type="cellIs" dxfId="1019" priority="1653" stopIfTrue="1" operator="equal">
      <formula>$A$30</formula>
    </cfRule>
  </conditionalFormatting>
  <conditionalFormatting sqref="AW11">
    <cfRule type="cellIs" dxfId="1018" priority="1651" stopIfTrue="1" operator="equal">
      <formula>$A$30</formula>
    </cfRule>
  </conditionalFormatting>
  <conditionalFormatting sqref="AW11">
    <cfRule type="cellIs" dxfId="1017" priority="1649" stopIfTrue="1" operator="equal">
      <formula>$A$30</formula>
    </cfRule>
  </conditionalFormatting>
  <conditionalFormatting sqref="AW11">
    <cfRule type="cellIs" dxfId="1016" priority="1647" stopIfTrue="1" operator="equal">
      <formula>$A$30</formula>
    </cfRule>
  </conditionalFormatting>
  <conditionalFormatting sqref="AW11">
    <cfRule type="cellIs" dxfId="1015" priority="1645" stopIfTrue="1" operator="equal">
      <formula>$A$30</formula>
    </cfRule>
  </conditionalFormatting>
  <conditionalFormatting sqref="AW11">
    <cfRule type="cellIs" dxfId="1014" priority="1643" stopIfTrue="1" operator="equal">
      <formula>$A$30</formula>
    </cfRule>
  </conditionalFormatting>
  <conditionalFormatting sqref="AW11">
    <cfRule type="cellIs" dxfId="1013" priority="1641" stopIfTrue="1" operator="equal">
      <formula>$A$30</formula>
    </cfRule>
  </conditionalFormatting>
  <conditionalFormatting sqref="AW11">
    <cfRule type="cellIs" dxfId="1012" priority="1639" stopIfTrue="1" operator="equal">
      <formula>$A$30</formula>
    </cfRule>
  </conditionalFormatting>
  <conditionalFormatting sqref="AW11">
    <cfRule type="cellIs" dxfId="1011" priority="1637" stopIfTrue="1" operator="equal">
      <formula>$A$30</formula>
    </cfRule>
  </conditionalFormatting>
  <conditionalFormatting sqref="AU15">
    <cfRule type="cellIs" dxfId="1010" priority="1530" stopIfTrue="1" operator="equal">
      <formula>$A$31</formula>
    </cfRule>
  </conditionalFormatting>
  <conditionalFormatting sqref="AU15">
    <cfRule type="cellIs" dxfId="1009" priority="1529" stopIfTrue="1" operator="equal">
      <formula>$A$31</formula>
    </cfRule>
  </conditionalFormatting>
  <conditionalFormatting sqref="AU15">
    <cfRule type="cellIs" dxfId="1008" priority="1528" stopIfTrue="1" operator="equal">
      <formula>$A$30</formula>
    </cfRule>
  </conditionalFormatting>
  <conditionalFormatting sqref="AU15">
    <cfRule type="cellIs" dxfId="1007" priority="1527" stopIfTrue="1" operator="equal">
      <formula>$A$31</formula>
    </cfRule>
  </conditionalFormatting>
  <conditionalFormatting sqref="AU15">
    <cfRule type="cellIs" dxfId="1006" priority="1526" stopIfTrue="1" operator="equal">
      <formula>$A$31</formula>
    </cfRule>
  </conditionalFormatting>
  <conditionalFormatting sqref="AU15">
    <cfRule type="cellIs" dxfId="1005" priority="1525" stopIfTrue="1" operator="equal">
      <formula>$A$30</formula>
    </cfRule>
  </conditionalFormatting>
  <conditionalFormatting sqref="AU15">
    <cfRule type="cellIs" dxfId="1004" priority="1524" stopIfTrue="1" operator="equal">
      <formula>$A$31</formula>
    </cfRule>
  </conditionalFormatting>
  <conditionalFormatting sqref="AU15">
    <cfRule type="cellIs" dxfId="1003" priority="1523" stopIfTrue="1" operator="equal">
      <formula>$A$31</formula>
    </cfRule>
  </conditionalFormatting>
  <conditionalFormatting sqref="AU15">
    <cfRule type="cellIs" dxfId="1002" priority="1522" stopIfTrue="1" operator="equal">
      <formula>$A$30</formula>
    </cfRule>
  </conditionalFormatting>
  <conditionalFormatting sqref="AU15">
    <cfRule type="cellIs" dxfId="1001" priority="1521" stopIfTrue="1" operator="equal">
      <formula>$A$31</formula>
    </cfRule>
  </conditionalFormatting>
  <conditionalFormatting sqref="AU15">
    <cfRule type="cellIs" dxfId="1000" priority="1520" stopIfTrue="1" operator="equal">
      <formula>$A$31</formula>
    </cfRule>
  </conditionalFormatting>
  <conditionalFormatting sqref="AU15">
    <cfRule type="cellIs" dxfId="999" priority="1519" stopIfTrue="1" operator="equal">
      <formula>$A$30</formula>
    </cfRule>
  </conditionalFormatting>
  <conditionalFormatting sqref="AU15">
    <cfRule type="cellIs" dxfId="998" priority="1518" stopIfTrue="1" operator="equal">
      <formula>$A$31</formula>
    </cfRule>
  </conditionalFormatting>
  <conditionalFormatting sqref="AU15">
    <cfRule type="cellIs" dxfId="997" priority="1517" stopIfTrue="1" operator="equal">
      <formula>$A$31</formula>
    </cfRule>
  </conditionalFormatting>
  <conditionalFormatting sqref="AU15">
    <cfRule type="cellIs" dxfId="996" priority="1516" stopIfTrue="1" operator="equal">
      <formula>$A$30</formula>
    </cfRule>
  </conditionalFormatting>
  <conditionalFormatting sqref="AU15">
    <cfRule type="cellIs" dxfId="995" priority="1515" stopIfTrue="1" operator="equal">
      <formula>$A$31</formula>
    </cfRule>
  </conditionalFormatting>
  <conditionalFormatting sqref="AU15">
    <cfRule type="cellIs" dxfId="994" priority="1514" stopIfTrue="1" operator="equal">
      <formula>$A$31</formula>
    </cfRule>
  </conditionalFormatting>
  <conditionalFormatting sqref="AU15">
    <cfRule type="cellIs" dxfId="993" priority="1513" stopIfTrue="1" operator="equal">
      <formula>$A$30</formula>
    </cfRule>
  </conditionalFormatting>
  <conditionalFormatting sqref="AU15">
    <cfRule type="cellIs" dxfId="992" priority="1512" stopIfTrue="1" operator="equal">
      <formula>$A$31</formula>
    </cfRule>
  </conditionalFormatting>
  <conditionalFormatting sqref="AU15">
    <cfRule type="cellIs" dxfId="991" priority="1511" stopIfTrue="1" operator="equal">
      <formula>$A$31</formula>
    </cfRule>
  </conditionalFormatting>
  <conditionalFormatting sqref="AU15">
    <cfRule type="cellIs" dxfId="990" priority="1510" stopIfTrue="1" operator="equal">
      <formula>$A$30</formula>
    </cfRule>
  </conditionalFormatting>
  <conditionalFormatting sqref="AW15">
    <cfRule type="cellIs" dxfId="989" priority="1509" stopIfTrue="1" operator="equal">
      <formula>$A$31</formula>
    </cfRule>
  </conditionalFormatting>
  <conditionalFormatting sqref="AW15">
    <cfRule type="cellIs" dxfId="988" priority="1508" stopIfTrue="1" operator="equal">
      <formula>$A$31</formula>
    </cfRule>
  </conditionalFormatting>
  <conditionalFormatting sqref="AW15">
    <cfRule type="cellIs" dxfId="987" priority="1507" stopIfTrue="1" operator="equal">
      <formula>$A$30</formula>
    </cfRule>
  </conditionalFormatting>
  <conditionalFormatting sqref="AW15">
    <cfRule type="cellIs" dxfId="986" priority="1506" stopIfTrue="1" operator="equal">
      <formula>$A$31</formula>
    </cfRule>
  </conditionalFormatting>
  <conditionalFormatting sqref="AW15">
    <cfRule type="cellIs" dxfId="985" priority="1505" stopIfTrue="1" operator="equal">
      <formula>$A$31</formula>
    </cfRule>
  </conditionalFormatting>
  <conditionalFormatting sqref="AW15">
    <cfRule type="cellIs" dxfId="984" priority="1504" stopIfTrue="1" operator="equal">
      <formula>$A$30</formula>
    </cfRule>
  </conditionalFormatting>
  <conditionalFormatting sqref="AW15">
    <cfRule type="cellIs" dxfId="983" priority="1503" stopIfTrue="1" operator="equal">
      <formula>$A$31</formula>
    </cfRule>
  </conditionalFormatting>
  <conditionalFormatting sqref="AW15">
    <cfRule type="cellIs" dxfId="982" priority="1502" stopIfTrue="1" operator="equal">
      <formula>$A$31</formula>
    </cfRule>
  </conditionalFormatting>
  <conditionalFormatting sqref="AW15">
    <cfRule type="cellIs" dxfId="981" priority="1501" stopIfTrue="1" operator="equal">
      <formula>$A$30</formula>
    </cfRule>
  </conditionalFormatting>
  <conditionalFormatting sqref="AW15">
    <cfRule type="cellIs" dxfId="980" priority="1500" stopIfTrue="1" operator="equal">
      <formula>$A$31</formula>
    </cfRule>
  </conditionalFormatting>
  <conditionalFormatting sqref="AW15">
    <cfRule type="cellIs" dxfId="979" priority="1499" stopIfTrue="1" operator="equal">
      <formula>$A$31</formula>
    </cfRule>
  </conditionalFormatting>
  <conditionalFormatting sqref="AW15">
    <cfRule type="cellIs" dxfId="978" priority="1498" stopIfTrue="1" operator="equal">
      <formula>$A$30</formula>
    </cfRule>
  </conditionalFormatting>
  <conditionalFormatting sqref="AW15">
    <cfRule type="cellIs" dxfId="977" priority="1497" stopIfTrue="1" operator="equal">
      <formula>$A$31</formula>
    </cfRule>
  </conditionalFormatting>
  <conditionalFormatting sqref="AW15">
    <cfRule type="cellIs" dxfId="976" priority="1496" stopIfTrue="1" operator="equal">
      <formula>$A$31</formula>
    </cfRule>
  </conditionalFormatting>
  <conditionalFormatting sqref="AW15">
    <cfRule type="cellIs" dxfId="975" priority="1495" stopIfTrue="1" operator="equal">
      <formula>$A$30</formula>
    </cfRule>
  </conditionalFormatting>
  <conditionalFormatting sqref="AW15">
    <cfRule type="cellIs" dxfId="974" priority="1494" stopIfTrue="1" operator="equal">
      <formula>$A$31</formula>
    </cfRule>
  </conditionalFormatting>
  <conditionalFormatting sqref="AW15">
    <cfRule type="cellIs" dxfId="973" priority="1493" stopIfTrue="1" operator="equal">
      <formula>$A$31</formula>
    </cfRule>
  </conditionalFormatting>
  <conditionalFormatting sqref="AW15">
    <cfRule type="cellIs" dxfId="972" priority="1492" stopIfTrue="1" operator="equal">
      <formula>$A$30</formula>
    </cfRule>
  </conditionalFormatting>
  <conditionalFormatting sqref="AW15">
    <cfRule type="cellIs" dxfId="971" priority="1491" stopIfTrue="1" operator="equal">
      <formula>$A$31</formula>
    </cfRule>
  </conditionalFormatting>
  <conditionalFormatting sqref="AW15">
    <cfRule type="cellIs" dxfId="970" priority="1490" stopIfTrue="1" operator="equal">
      <formula>$A$31</formula>
    </cfRule>
  </conditionalFormatting>
  <conditionalFormatting sqref="AW15">
    <cfRule type="cellIs" dxfId="969" priority="1489" stopIfTrue="1" operator="equal">
      <formula>$A$30</formula>
    </cfRule>
  </conditionalFormatting>
  <conditionalFormatting sqref="AU16">
    <cfRule type="cellIs" dxfId="968" priority="1488" stopIfTrue="1" operator="equal">
      <formula>$A$30</formula>
    </cfRule>
  </conditionalFormatting>
  <conditionalFormatting sqref="AU16">
    <cfRule type="cellIs" dxfId="967" priority="1487" stopIfTrue="1" operator="equal">
      <formula>$A$30</formula>
    </cfRule>
  </conditionalFormatting>
  <conditionalFormatting sqref="AU16">
    <cfRule type="cellIs" dxfId="966" priority="1486" stopIfTrue="1" operator="equal">
      <formula>$A$30</formula>
    </cfRule>
  </conditionalFormatting>
  <conditionalFormatting sqref="AU16">
    <cfRule type="cellIs" dxfId="965" priority="1485" stopIfTrue="1" operator="equal">
      <formula>$A$30</formula>
    </cfRule>
  </conditionalFormatting>
  <conditionalFormatting sqref="AU16">
    <cfRule type="cellIs" dxfId="964" priority="1484" stopIfTrue="1" operator="equal">
      <formula>$A$30</formula>
    </cfRule>
  </conditionalFormatting>
  <conditionalFormatting sqref="AU16">
    <cfRule type="cellIs" dxfId="963" priority="1483" stopIfTrue="1" operator="equal">
      <formula>$A$30</formula>
    </cfRule>
  </conditionalFormatting>
  <conditionalFormatting sqref="AU16">
    <cfRule type="cellIs" dxfId="962" priority="1482" stopIfTrue="1" operator="equal">
      <formula>$A$30</formula>
    </cfRule>
  </conditionalFormatting>
  <conditionalFormatting sqref="AU16">
    <cfRule type="cellIs" dxfId="961" priority="1481" stopIfTrue="1" operator="equal">
      <formula>$A$31</formula>
    </cfRule>
  </conditionalFormatting>
  <conditionalFormatting sqref="AU16">
    <cfRule type="cellIs" dxfId="960" priority="1480" stopIfTrue="1" operator="equal">
      <formula>$A$31</formula>
    </cfRule>
  </conditionalFormatting>
  <conditionalFormatting sqref="AU16">
    <cfRule type="cellIs" dxfId="959" priority="1479" stopIfTrue="1" operator="equal">
      <formula>$A$30</formula>
    </cfRule>
  </conditionalFormatting>
  <conditionalFormatting sqref="AU16">
    <cfRule type="cellIs" dxfId="958" priority="1478" stopIfTrue="1" operator="equal">
      <formula>$A$31</formula>
    </cfRule>
  </conditionalFormatting>
  <conditionalFormatting sqref="AU16">
    <cfRule type="cellIs" dxfId="957" priority="1477" stopIfTrue="1" operator="equal">
      <formula>$A$31</formula>
    </cfRule>
  </conditionalFormatting>
  <conditionalFormatting sqref="AU16">
    <cfRule type="cellIs" dxfId="956" priority="1476" stopIfTrue="1" operator="equal">
      <formula>$A$30</formula>
    </cfRule>
  </conditionalFormatting>
  <conditionalFormatting sqref="AU16">
    <cfRule type="cellIs" dxfId="955" priority="1475" stopIfTrue="1" operator="equal">
      <formula>$A$31</formula>
    </cfRule>
  </conditionalFormatting>
  <conditionalFormatting sqref="AU16">
    <cfRule type="cellIs" dxfId="954" priority="1474" stopIfTrue="1" operator="equal">
      <formula>$A$31</formula>
    </cfRule>
  </conditionalFormatting>
  <conditionalFormatting sqref="AU16">
    <cfRule type="cellIs" dxfId="953" priority="1473" stopIfTrue="1" operator="equal">
      <formula>$A$30</formula>
    </cfRule>
  </conditionalFormatting>
  <conditionalFormatting sqref="AU16">
    <cfRule type="cellIs" dxfId="952" priority="1472" stopIfTrue="1" operator="equal">
      <formula>$A$31</formula>
    </cfRule>
  </conditionalFormatting>
  <conditionalFormatting sqref="AU16">
    <cfRule type="cellIs" dxfId="951" priority="1471" stopIfTrue="1" operator="equal">
      <formula>$A$31</formula>
    </cfRule>
  </conditionalFormatting>
  <conditionalFormatting sqref="AU16">
    <cfRule type="cellIs" dxfId="950" priority="1470" stopIfTrue="1" operator="equal">
      <formula>$A$30</formula>
    </cfRule>
  </conditionalFormatting>
  <conditionalFormatting sqref="AU16">
    <cfRule type="cellIs" dxfId="949" priority="1469" stopIfTrue="1" operator="equal">
      <formula>$A$31</formula>
    </cfRule>
  </conditionalFormatting>
  <conditionalFormatting sqref="AU16">
    <cfRule type="cellIs" dxfId="948" priority="1468" stopIfTrue="1" operator="equal">
      <formula>$A$31</formula>
    </cfRule>
  </conditionalFormatting>
  <conditionalFormatting sqref="AU16">
    <cfRule type="cellIs" dxfId="947" priority="1467" stopIfTrue="1" operator="equal">
      <formula>$A$30</formula>
    </cfRule>
  </conditionalFormatting>
  <conditionalFormatting sqref="AU16">
    <cfRule type="cellIs" dxfId="946" priority="1466" stopIfTrue="1" operator="equal">
      <formula>$A$31</formula>
    </cfRule>
  </conditionalFormatting>
  <conditionalFormatting sqref="AU16">
    <cfRule type="cellIs" dxfId="945" priority="1465" stopIfTrue="1" operator="equal">
      <formula>$A$31</formula>
    </cfRule>
  </conditionalFormatting>
  <conditionalFormatting sqref="AU16">
    <cfRule type="cellIs" dxfId="944" priority="1464" stopIfTrue="1" operator="equal">
      <formula>$A$30</formula>
    </cfRule>
  </conditionalFormatting>
  <conditionalFormatting sqref="AU16">
    <cfRule type="cellIs" dxfId="943" priority="1463" stopIfTrue="1" operator="equal">
      <formula>$A$31</formula>
    </cfRule>
  </conditionalFormatting>
  <conditionalFormatting sqref="AU16">
    <cfRule type="cellIs" dxfId="942" priority="1462" stopIfTrue="1" operator="equal">
      <formula>$A$31</formula>
    </cfRule>
  </conditionalFormatting>
  <conditionalFormatting sqref="AU16">
    <cfRule type="cellIs" dxfId="941" priority="1461" stopIfTrue="1" operator="equal">
      <formula>$A$30</formula>
    </cfRule>
  </conditionalFormatting>
  <conditionalFormatting sqref="AW16">
    <cfRule type="cellIs" dxfId="940" priority="1460" stopIfTrue="1" operator="equal">
      <formula>$A$31</formula>
    </cfRule>
  </conditionalFormatting>
  <conditionalFormatting sqref="AW16">
    <cfRule type="cellIs" dxfId="939" priority="1459" stopIfTrue="1" operator="equal">
      <formula>$A$31</formula>
    </cfRule>
  </conditionalFormatting>
  <conditionalFormatting sqref="AW16">
    <cfRule type="cellIs" dxfId="938" priority="1458" stopIfTrue="1" operator="equal">
      <formula>$A$30</formula>
    </cfRule>
  </conditionalFormatting>
  <conditionalFormatting sqref="AW16">
    <cfRule type="cellIs" dxfId="937" priority="1457" stopIfTrue="1" operator="equal">
      <formula>$A$31</formula>
    </cfRule>
  </conditionalFormatting>
  <conditionalFormatting sqref="AW16">
    <cfRule type="cellIs" dxfId="936" priority="1456" stopIfTrue="1" operator="equal">
      <formula>$A$31</formula>
    </cfRule>
  </conditionalFormatting>
  <conditionalFormatting sqref="AW16">
    <cfRule type="cellIs" dxfId="935" priority="1455" stopIfTrue="1" operator="equal">
      <formula>$A$30</formula>
    </cfRule>
  </conditionalFormatting>
  <conditionalFormatting sqref="AW16">
    <cfRule type="cellIs" dxfId="934" priority="1454" stopIfTrue="1" operator="equal">
      <formula>$A$31</formula>
    </cfRule>
  </conditionalFormatting>
  <conditionalFormatting sqref="AW16">
    <cfRule type="cellIs" dxfId="933" priority="1453" stopIfTrue="1" operator="equal">
      <formula>$A$31</formula>
    </cfRule>
  </conditionalFormatting>
  <conditionalFormatting sqref="AW16">
    <cfRule type="cellIs" dxfId="932" priority="1452" stopIfTrue="1" operator="equal">
      <formula>$A$30</formula>
    </cfRule>
  </conditionalFormatting>
  <conditionalFormatting sqref="AW16">
    <cfRule type="cellIs" dxfId="931" priority="1451" stopIfTrue="1" operator="equal">
      <formula>$A$31</formula>
    </cfRule>
  </conditionalFormatting>
  <conditionalFormatting sqref="AW16">
    <cfRule type="cellIs" dxfId="930" priority="1450" stopIfTrue="1" operator="equal">
      <formula>$A$31</formula>
    </cfRule>
  </conditionalFormatting>
  <conditionalFormatting sqref="AW16">
    <cfRule type="cellIs" dxfId="929" priority="1449" stopIfTrue="1" operator="equal">
      <formula>$A$30</formula>
    </cfRule>
  </conditionalFormatting>
  <conditionalFormatting sqref="AW16">
    <cfRule type="cellIs" dxfId="928" priority="1448" stopIfTrue="1" operator="equal">
      <formula>$A$31</formula>
    </cfRule>
  </conditionalFormatting>
  <conditionalFormatting sqref="AW16">
    <cfRule type="cellIs" dxfId="927" priority="1447" stopIfTrue="1" operator="equal">
      <formula>$A$31</formula>
    </cfRule>
  </conditionalFormatting>
  <conditionalFormatting sqref="AW16">
    <cfRule type="cellIs" dxfId="926" priority="1446" stopIfTrue="1" operator="equal">
      <formula>$A$30</formula>
    </cfRule>
  </conditionalFormatting>
  <conditionalFormatting sqref="AW16">
    <cfRule type="cellIs" dxfId="925" priority="1445" stopIfTrue="1" operator="equal">
      <formula>$A$31</formula>
    </cfRule>
  </conditionalFormatting>
  <conditionalFormatting sqref="AW16">
    <cfRule type="cellIs" dxfId="924" priority="1444" stopIfTrue="1" operator="equal">
      <formula>$A$31</formula>
    </cfRule>
  </conditionalFormatting>
  <conditionalFormatting sqref="AW16">
    <cfRule type="cellIs" dxfId="923" priority="1443" stopIfTrue="1" operator="equal">
      <formula>$A$30</formula>
    </cfRule>
  </conditionalFormatting>
  <conditionalFormatting sqref="AW16">
    <cfRule type="cellIs" dxfId="922" priority="1442" stopIfTrue="1" operator="equal">
      <formula>$A$31</formula>
    </cfRule>
  </conditionalFormatting>
  <conditionalFormatting sqref="AW16">
    <cfRule type="cellIs" dxfId="921" priority="1441" stopIfTrue="1" operator="equal">
      <formula>$A$31</formula>
    </cfRule>
  </conditionalFormatting>
  <conditionalFormatting sqref="AW16">
    <cfRule type="cellIs" dxfId="920" priority="1440" stopIfTrue="1" operator="equal">
      <formula>$A$30</formula>
    </cfRule>
  </conditionalFormatting>
  <conditionalFormatting sqref="AU17">
    <cfRule type="cellIs" dxfId="919" priority="1439" stopIfTrue="1" operator="equal">
      <formula>$A$31</formula>
    </cfRule>
  </conditionalFormatting>
  <conditionalFormatting sqref="AU17">
    <cfRule type="cellIs" dxfId="918" priority="1438" stopIfTrue="1" operator="equal">
      <formula>$A$31</formula>
    </cfRule>
  </conditionalFormatting>
  <conditionalFormatting sqref="AU17">
    <cfRule type="cellIs" dxfId="917" priority="1437" stopIfTrue="1" operator="equal">
      <formula>$A$31</formula>
    </cfRule>
  </conditionalFormatting>
  <conditionalFormatting sqref="AU17">
    <cfRule type="cellIs" dxfId="916" priority="1436" stopIfTrue="1" operator="equal">
      <formula>$A$31</formula>
    </cfRule>
  </conditionalFormatting>
  <conditionalFormatting sqref="AU17">
    <cfRule type="cellIs" dxfId="915" priority="1435" stopIfTrue="1" operator="equal">
      <formula>$A$31</formula>
    </cfRule>
  </conditionalFormatting>
  <conditionalFormatting sqref="AU17">
    <cfRule type="cellIs" dxfId="914" priority="1434" stopIfTrue="1" operator="equal">
      <formula>$A$31</formula>
    </cfRule>
  </conditionalFormatting>
  <conditionalFormatting sqref="AU17">
    <cfRule type="cellIs" dxfId="913" priority="1433" stopIfTrue="1" operator="equal">
      <formula>$A$31</formula>
    </cfRule>
  </conditionalFormatting>
  <conditionalFormatting sqref="AU17">
    <cfRule type="cellIs" dxfId="912" priority="1432" stopIfTrue="1" operator="equal">
      <formula>$A$31</formula>
    </cfRule>
  </conditionalFormatting>
  <conditionalFormatting sqref="AU17">
    <cfRule type="cellIs" dxfId="911" priority="1431" stopIfTrue="1" operator="equal">
      <formula>$A$31</formula>
    </cfRule>
  </conditionalFormatting>
  <conditionalFormatting sqref="AU17">
    <cfRule type="cellIs" dxfId="910" priority="1430" stopIfTrue="1" operator="equal">
      <formula>$A$31</formula>
    </cfRule>
  </conditionalFormatting>
  <conditionalFormatting sqref="AU17">
    <cfRule type="cellIs" dxfId="909" priority="1429" stopIfTrue="1" operator="equal">
      <formula>$A$31</formula>
    </cfRule>
  </conditionalFormatting>
  <conditionalFormatting sqref="AU17">
    <cfRule type="cellIs" dxfId="908" priority="1428" stopIfTrue="1" operator="equal">
      <formula>$A$31</formula>
    </cfRule>
  </conditionalFormatting>
  <conditionalFormatting sqref="AU17">
    <cfRule type="cellIs" dxfId="907" priority="1427" stopIfTrue="1" operator="equal">
      <formula>$A$31</formula>
    </cfRule>
  </conditionalFormatting>
  <conditionalFormatting sqref="AU17">
    <cfRule type="cellIs" dxfId="906" priority="1426" stopIfTrue="1" operator="equal">
      <formula>$A$31</formula>
    </cfRule>
  </conditionalFormatting>
  <conditionalFormatting sqref="AW17">
    <cfRule type="cellIs" dxfId="905" priority="1425" stopIfTrue="1" operator="equal">
      <formula>$A$31</formula>
    </cfRule>
  </conditionalFormatting>
  <conditionalFormatting sqref="AW17">
    <cfRule type="cellIs" dxfId="904" priority="1424" stopIfTrue="1" operator="equal">
      <formula>$A$31</formula>
    </cfRule>
  </conditionalFormatting>
  <conditionalFormatting sqref="AW17">
    <cfRule type="cellIs" dxfId="903" priority="1423" stopIfTrue="1" operator="equal">
      <formula>$A$31</formula>
    </cfRule>
  </conditionalFormatting>
  <conditionalFormatting sqref="AW17">
    <cfRule type="cellIs" dxfId="902" priority="1422" stopIfTrue="1" operator="equal">
      <formula>$A$31</formula>
    </cfRule>
  </conditionalFormatting>
  <conditionalFormatting sqref="AW17">
    <cfRule type="cellIs" dxfId="901" priority="1421" stopIfTrue="1" operator="equal">
      <formula>$A$31</formula>
    </cfRule>
  </conditionalFormatting>
  <conditionalFormatting sqref="AW17">
    <cfRule type="cellIs" dxfId="900" priority="1420" stopIfTrue="1" operator="equal">
      <formula>$A$31</formula>
    </cfRule>
  </conditionalFormatting>
  <conditionalFormatting sqref="AW17">
    <cfRule type="cellIs" dxfId="899" priority="1419" stopIfTrue="1" operator="equal">
      <formula>$A$31</formula>
    </cfRule>
  </conditionalFormatting>
  <conditionalFormatting sqref="AW17">
    <cfRule type="cellIs" dxfId="898" priority="1418" stopIfTrue="1" operator="equal">
      <formula>$A$31</formula>
    </cfRule>
  </conditionalFormatting>
  <conditionalFormatting sqref="AW17">
    <cfRule type="cellIs" dxfId="897" priority="1417" stopIfTrue="1" operator="equal">
      <formula>$A$31</formula>
    </cfRule>
  </conditionalFormatting>
  <conditionalFormatting sqref="AW17">
    <cfRule type="cellIs" dxfId="896" priority="1416" stopIfTrue="1" operator="equal">
      <formula>$A$31</formula>
    </cfRule>
  </conditionalFormatting>
  <conditionalFormatting sqref="AW17">
    <cfRule type="cellIs" dxfId="895" priority="1415" stopIfTrue="1" operator="equal">
      <formula>$A$31</formula>
    </cfRule>
  </conditionalFormatting>
  <conditionalFormatting sqref="AW17">
    <cfRule type="cellIs" dxfId="894" priority="1414" stopIfTrue="1" operator="equal">
      <formula>$A$31</formula>
    </cfRule>
  </conditionalFormatting>
  <conditionalFormatting sqref="AW17">
    <cfRule type="cellIs" dxfId="893" priority="1413" stopIfTrue="1" operator="equal">
      <formula>$A$31</formula>
    </cfRule>
  </conditionalFormatting>
  <conditionalFormatting sqref="AW17">
    <cfRule type="cellIs" dxfId="892" priority="1412" stopIfTrue="1" operator="equal">
      <formula>$A$31</formula>
    </cfRule>
  </conditionalFormatting>
  <conditionalFormatting sqref="DG16">
    <cfRule type="cellIs" dxfId="891" priority="740" stopIfTrue="1" operator="equal">
      <formula>$A$30</formula>
    </cfRule>
  </conditionalFormatting>
  <conditionalFormatting sqref="DG8">
    <cfRule type="cellIs" dxfId="890" priority="737" stopIfTrue="1" operator="equal">
      <formula>$A$31</formula>
    </cfRule>
  </conditionalFormatting>
  <conditionalFormatting sqref="P15:R16">
    <cfRule type="cellIs" dxfId="889" priority="736" stopIfTrue="1" operator="equal">
      <formula>$A$30</formula>
    </cfRule>
  </conditionalFormatting>
  <conditionalFormatting sqref="DH8">
    <cfRule type="cellIs" dxfId="888" priority="735" stopIfTrue="1" operator="equal">
      <formula>$A$31</formula>
    </cfRule>
  </conditionalFormatting>
  <conditionalFormatting sqref="DI8">
    <cfRule type="cellIs" dxfId="887" priority="734" stopIfTrue="1" operator="equal">
      <formula>$A$31</formula>
    </cfRule>
  </conditionalFormatting>
  <conditionalFormatting sqref="DK8">
    <cfRule type="cellIs" dxfId="886" priority="729" stopIfTrue="1" operator="equal">
      <formula>$A$31</formula>
    </cfRule>
  </conditionalFormatting>
  <conditionalFormatting sqref="DL8">
    <cfRule type="cellIs" dxfId="885" priority="725" stopIfTrue="1" operator="equal">
      <formula>$A$31</formula>
    </cfRule>
  </conditionalFormatting>
  <conditionalFormatting sqref="BY12:BZ12">
    <cfRule type="cellIs" dxfId="884" priority="662" stopIfTrue="1" operator="equal">
      <formula>$A$31</formula>
    </cfRule>
  </conditionalFormatting>
  <conditionalFormatting sqref="BY11:BZ11">
    <cfRule type="cellIs" dxfId="883" priority="663" stopIfTrue="1" operator="equal">
      <formula>$A$30</formula>
    </cfRule>
  </conditionalFormatting>
  <conditionalFormatting sqref="BY17:BZ17">
    <cfRule type="cellIs" dxfId="882" priority="660" stopIfTrue="1" operator="equal">
      <formula>$A$31</formula>
    </cfRule>
  </conditionalFormatting>
  <conditionalFormatting sqref="BY16:BZ16">
    <cfRule type="cellIs" dxfId="881" priority="661" stopIfTrue="1" operator="equal">
      <formula>$A$30</formula>
    </cfRule>
  </conditionalFormatting>
  <conditionalFormatting sqref="DM1:DU1">
    <cfRule type="cellIs" dxfId="880" priority="655" stopIfTrue="1" operator="equal">
      <formula>$A$31</formula>
    </cfRule>
  </conditionalFormatting>
  <conditionalFormatting sqref="DM1:DU1">
    <cfRule type="cellIs" dxfId="879" priority="654" stopIfTrue="1" operator="equal">
      <formula>$A$31</formula>
    </cfRule>
  </conditionalFormatting>
  <conditionalFormatting sqref="DM1:DU1">
    <cfRule type="cellIs" dxfId="878" priority="653" stopIfTrue="1" operator="equal">
      <formula>$A$31</formula>
    </cfRule>
  </conditionalFormatting>
  <conditionalFormatting sqref="DM8:DU8">
    <cfRule type="cellIs" dxfId="877" priority="652" stopIfTrue="1" operator="equal">
      <formula>$A$31</formula>
    </cfRule>
  </conditionalFormatting>
  <conditionalFormatting sqref="DV8:DX8">
    <cfRule type="cellIs" dxfId="876" priority="639" stopIfTrue="1" operator="equal">
      <formula>$A$31</formula>
    </cfRule>
  </conditionalFormatting>
  <conditionalFormatting sqref="DV1">
    <cfRule type="cellIs" dxfId="875" priority="638" stopIfTrue="1" operator="equal">
      <formula>$A$31</formula>
    </cfRule>
  </conditionalFormatting>
  <conditionalFormatting sqref="DV1">
    <cfRule type="cellIs" dxfId="874" priority="637" stopIfTrue="1" operator="equal">
      <formula>$A$31</formula>
    </cfRule>
  </conditionalFormatting>
  <conditionalFormatting sqref="DV1">
    <cfRule type="cellIs" dxfId="873" priority="636" stopIfTrue="1" operator="equal">
      <formula>$A$31</formula>
    </cfRule>
  </conditionalFormatting>
  <conditionalFormatting sqref="DW1">
    <cfRule type="cellIs" dxfId="872" priority="632" stopIfTrue="1" operator="equal">
      <formula>$A$31</formula>
    </cfRule>
  </conditionalFormatting>
  <conditionalFormatting sqref="DW1">
    <cfRule type="cellIs" dxfId="871" priority="631" stopIfTrue="1" operator="equal">
      <formula>$A$31</formula>
    </cfRule>
  </conditionalFormatting>
  <conditionalFormatting sqref="DW1">
    <cfRule type="cellIs" dxfId="870" priority="630" stopIfTrue="1" operator="equal">
      <formula>$A$31</formula>
    </cfRule>
  </conditionalFormatting>
  <conditionalFormatting sqref="DX1">
    <cfRule type="cellIs" dxfId="869" priority="626" stopIfTrue="1" operator="equal">
      <formula>$A$31</formula>
    </cfRule>
  </conditionalFormatting>
  <conditionalFormatting sqref="DX1">
    <cfRule type="cellIs" dxfId="868" priority="625" stopIfTrue="1" operator="equal">
      <formula>$A$31</formula>
    </cfRule>
  </conditionalFormatting>
  <conditionalFormatting sqref="DX1">
    <cfRule type="cellIs" dxfId="867" priority="624" stopIfTrue="1" operator="equal">
      <formula>$A$31</formula>
    </cfRule>
  </conditionalFormatting>
  <conditionalFormatting sqref="DY1">
    <cfRule type="cellIs" dxfId="866" priority="620" stopIfTrue="1" operator="equal">
      <formula>$A$31</formula>
    </cfRule>
  </conditionalFormatting>
  <conditionalFormatting sqref="DY1">
    <cfRule type="cellIs" dxfId="865" priority="619" stopIfTrue="1" operator="equal">
      <formula>$A$31</formula>
    </cfRule>
  </conditionalFormatting>
  <conditionalFormatting sqref="DY1">
    <cfRule type="cellIs" dxfId="864" priority="618" stopIfTrue="1" operator="equal">
      <formula>$A$31</formula>
    </cfRule>
  </conditionalFormatting>
  <conditionalFormatting sqref="DY8">
    <cfRule type="cellIs" dxfId="863" priority="617" stopIfTrue="1" operator="equal">
      <formula>$A$31</formula>
    </cfRule>
  </conditionalFormatting>
  <conditionalFormatting sqref="DZ8:EA8">
    <cfRule type="cellIs" dxfId="862" priority="613" stopIfTrue="1" operator="equal">
      <formula>$A$31</formula>
    </cfRule>
  </conditionalFormatting>
  <conditionalFormatting sqref="DZ1">
    <cfRule type="cellIs" dxfId="861" priority="612" stopIfTrue="1" operator="equal">
      <formula>$A$31</formula>
    </cfRule>
  </conditionalFormatting>
  <conditionalFormatting sqref="DZ1">
    <cfRule type="cellIs" dxfId="860" priority="611" stopIfTrue="1" operator="equal">
      <formula>$A$31</formula>
    </cfRule>
  </conditionalFormatting>
  <conditionalFormatting sqref="DZ1">
    <cfRule type="cellIs" dxfId="859" priority="610" stopIfTrue="1" operator="equal">
      <formula>$A$31</formula>
    </cfRule>
  </conditionalFormatting>
  <conditionalFormatting sqref="EA1">
    <cfRule type="cellIs" dxfId="858" priority="606" stopIfTrue="1" operator="equal">
      <formula>$A$31</formula>
    </cfRule>
  </conditionalFormatting>
  <conditionalFormatting sqref="EA1">
    <cfRule type="cellIs" dxfId="857" priority="605" stopIfTrue="1" operator="equal">
      <formula>$A$31</formula>
    </cfRule>
  </conditionalFormatting>
  <conditionalFormatting sqref="EA1">
    <cfRule type="cellIs" dxfId="856" priority="604" stopIfTrue="1" operator="equal">
      <formula>$A$31</formula>
    </cfRule>
  </conditionalFormatting>
  <conditionalFormatting sqref="DM19:EJ19">
    <cfRule type="cellIs" dxfId="855" priority="600" stopIfTrue="1" operator="equal">
      <formula>$A$31</formula>
    </cfRule>
  </conditionalFormatting>
  <conditionalFormatting sqref="DM15:EA17">
    <cfRule type="cellIs" dxfId="854" priority="593" stopIfTrue="1" operator="equal">
      <formula>$A$31</formula>
    </cfRule>
  </conditionalFormatting>
  <conditionalFormatting sqref="DM13:EA14">
    <cfRule type="cellIs" dxfId="853" priority="589" stopIfTrue="1" operator="equal">
      <formula>$A$31</formula>
    </cfRule>
  </conditionalFormatting>
  <conditionalFormatting sqref="EB8:EJ8">
    <cfRule type="cellIs" dxfId="852" priority="583" stopIfTrue="1" operator="equal">
      <formula>$A$31</formula>
    </cfRule>
  </conditionalFormatting>
  <conditionalFormatting sqref="EB13:EG14">
    <cfRule type="cellIs" dxfId="851" priority="582" stopIfTrue="1" operator="equal">
      <formula>$A$31</formula>
    </cfRule>
  </conditionalFormatting>
  <conditionalFormatting sqref="EB9:EG9">
    <cfRule type="cellIs" dxfId="850" priority="579" stopIfTrue="1" operator="equal">
      <formula>$A$31</formula>
    </cfRule>
  </conditionalFormatting>
  <conditionalFormatting sqref="EH13:EJ14">
    <cfRule type="cellIs" dxfId="849" priority="569" stopIfTrue="1" operator="equal">
      <formula>$A$31</formula>
    </cfRule>
  </conditionalFormatting>
  <conditionalFormatting sqref="EH9:EJ9">
    <cfRule type="cellIs" dxfId="848" priority="566" stopIfTrue="1" operator="equal">
      <formula>$A$31</formula>
    </cfRule>
  </conditionalFormatting>
  <conditionalFormatting sqref="EK18:EN18">
    <cfRule type="cellIs" dxfId="847" priority="556" stopIfTrue="1" operator="equal">
      <formula>$A$31</formula>
    </cfRule>
  </conditionalFormatting>
  <conditionalFormatting sqref="EK19:EN19">
    <cfRule type="cellIs" dxfId="846" priority="555" stopIfTrue="1" operator="equal">
      <formula>$A$31</formula>
    </cfRule>
  </conditionalFormatting>
  <conditionalFormatting sqref="EK8">
    <cfRule type="cellIs" dxfId="845" priority="554" stopIfTrue="1" operator="equal">
      <formula>$A$31</formula>
    </cfRule>
  </conditionalFormatting>
  <conditionalFormatting sqref="EK13:EK14">
    <cfRule type="cellIs" dxfId="844" priority="553" stopIfTrue="1" operator="equal">
      <formula>$A$31</formula>
    </cfRule>
  </conditionalFormatting>
  <conditionalFormatting sqref="EK9">
    <cfRule type="cellIs" dxfId="843" priority="550" stopIfTrue="1" operator="equal">
      <formula>$A$31</formula>
    </cfRule>
  </conditionalFormatting>
  <conditionalFormatting sqref="EL16:EL17">
    <cfRule type="cellIs" dxfId="842" priority="534" stopIfTrue="1" operator="equal">
      <formula>$A$31</formula>
    </cfRule>
  </conditionalFormatting>
  <conditionalFormatting sqref="EL8">
    <cfRule type="cellIs" dxfId="841" priority="533" stopIfTrue="1" operator="equal">
      <formula>$A$31</formula>
    </cfRule>
  </conditionalFormatting>
  <conditionalFormatting sqref="EL13:EL14">
    <cfRule type="cellIs" dxfId="840" priority="532" stopIfTrue="1" operator="equal">
      <formula>$A$31</formula>
    </cfRule>
  </conditionalFormatting>
  <conditionalFormatting sqref="EL9">
    <cfRule type="cellIs" dxfId="839" priority="529" stopIfTrue="1" operator="equal">
      <formula>$A$31</formula>
    </cfRule>
  </conditionalFormatting>
  <conditionalFormatting sqref="EL15">
    <cfRule type="cellIs" dxfId="838" priority="519" stopIfTrue="1" operator="equal">
      <formula>$A$31</formula>
    </cfRule>
  </conditionalFormatting>
  <conditionalFormatting sqref="EM16:EM17">
    <cfRule type="cellIs" dxfId="837" priority="516" stopIfTrue="1" operator="equal">
      <formula>$A$31</formula>
    </cfRule>
  </conditionalFormatting>
  <conditionalFormatting sqref="EM8">
    <cfRule type="cellIs" dxfId="836" priority="515" stopIfTrue="1" operator="equal">
      <formula>$A$31</formula>
    </cfRule>
  </conditionalFormatting>
  <conditionalFormatting sqref="EM14">
    <cfRule type="cellIs" dxfId="835" priority="514" stopIfTrue="1" operator="equal">
      <formula>$A$31</formula>
    </cfRule>
  </conditionalFormatting>
  <conditionalFormatting sqref="EM9">
    <cfRule type="cellIs" dxfId="834" priority="511" stopIfTrue="1" operator="equal">
      <formula>$A$31</formula>
    </cfRule>
  </conditionalFormatting>
  <conditionalFormatting sqref="EM15">
    <cfRule type="cellIs" dxfId="833" priority="501" stopIfTrue="1" operator="equal">
      <formula>$A$31</formula>
    </cfRule>
  </conditionalFormatting>
  <conditionalFormatting sqref="EN16:EN17">
    <cfRule type="cellIs" dxfId="832" priority="498" stopIfTrue="1" operator="equal">
      <formula>$A$31</formula>
    </cfRule>
  </conditionalFormatting>
  <conditionalFormatting sqref="EN8">
    <cfRule type="cellIs" dxfId="831" priority="497" stopIfTrue="1" operator="equal">
      <formula>$A$31</formula>
    </cfRule>
  </conditionalFormatting>
  <conditionalFormatting sqref="EN14">
    <cfRule type="cellIs" dxfId="830" priority="496" stopIfTrue="1" operator="equal">
      <formula>$A$31</formula>
    </cfRule>
  </conditionalFormatting>
  <conditionalFormatting sqref="EN9">
    <cfRule type="cellIs" dxfId="829" priority="493" stopIfTrue="1" operator="equal">
      <formula>$A$31</formula>
    </cfRule>
  </conditionalFormatting>
  <conditionalFormatting sqref="EN15">
    <cfRule type="cellIs" dxfId="828" priority="483" stopIfTrue="1" operator="equal">
      <formula>$A$31</formula>
    </cfRule>
  </conditionalFormatting>
  <conditionalFormatting sqref="EO8:EQ8">
    <cfRule type="cellIs" dxfId="827" priority="414" stopIfTrue="1" operator="equal">
      <formula>$A$31</formula>
    </cfRule>
  </conditionalFormatting>
  <conditionalFormatting sqref="EP16">
    <cfRule type="cellIs" dxfId="826" priority="356" stopIfTrue="1" operator="equal">
      <formula>$A$30</formula>
    </cfRule>
  </conditionalFormatting>
  <conditionalFormatting sqref="EP15">
    <cfRule type="cellIs" dxfId="825" priority="355" stopIfTrue="1" operator="equal">
      <formula>$A$30</formula>
    </cfRule>
  </conditionalFormatting>
  <conditionalFormatting sqref="EP19">
    <cfRule type="cellIs" dxfId="824" priority="320" stopIfTrue="1" operator="equal">
      <formula>$A$31</formula>
    </cfRule>
  </conditionalFormatting>
  <conditionalFormatting sqref="EP13">
    <cfRule type="cellIs" dxfId="823" priority="319" stopIfTrue="1" operator="equal">
      <formula>$A$31</formula>
    </cfRule>
  </conditionalFormatting>
  <conditionalFormatting sqref="EP18">
    <cfRule type="cellIs" dxfId="822" priority="318" stopIfTrue="1" operator="equal">
      <formula>$A$31</formula>
    </cfRule>
  </conditionalFormatting>
  <conditionalFormatting sqref="EQ16">
    <cfRule type="cellIs" dxfId="821" priority="307" stopIfTrue="1" operator="equal">
      <formula>$A$30</formula>
    </cfRule>
  </conditionalFormatting>
  <conditionalFormatting sqref="EQ15">
    <cfRule type="cellIs" dxfId="820" priority="306" stopIfTrue="1" operator="equal">
      <formula>$A$30</formula>
    </cfRule>
  </conditionalFormatting>
  <conditionalFormatting sqref="EQ19">
    <cfRule type="cellIs" dxfId="819" priority="271" stopIfTrue="1" operator="equal">
      <formula>$A$31</formula>
    </cfRule>
  </conditionalFormatting>
  <conditionalFormatting sqref="EQ13">
    <cfRule type="cellIs" dxfId="818" priority="270" stopIfTrue="1" operator="equal">
      <formula>$A$31</formula>
    </cfRule>
  </conditionalFormatting>
  <conditionalFormatting sqref="EQ18">
    <cfRule type="cellIs" dxfId="817" priority="269" stopIfTrue="1" operator="equal">
      <formula>$A$31</formula>
    </cfRule>
  </conditionalFormatting>
  <conditionalFormatting sqref="ER8">
    <cfRule type="cellIs" dxfId="816" priority="219" stopIfTrue="1" operator="equal">
      <formula>$A$31</formula>
    </cfRule>
  </conditionalFormatting>
  <conditionalFormatting sqref="ER14">
    <cfRule type="cellIs" dxfId="815" priority="212" stopIfTrue="1" operator="equal">
      <formula>$A$31</formula>
    </cfRule>
  </conditionalFormatting>
  <conditionalFormatting sqref="ES8">
    <cfRule type="cellIs" dxfId="814" priority="161" stopIfTrue="1" operator="equal">
      <formula>$A$31</formula>
    </cfRule>
  </conditionalFormatting>
  <conditionalFormatting sqref="ES14">
    <cfRule type="cellIs" dxfId="813" priority="160" stopIfTrue="1" operator="equal">
      <formula>$A$31</formula>
    </cfRule>
  </conditionalFormatting>
  <conditionalFormatting sqref="ES11">
    <cfRule type="cellIs" dxfId="812" priority="154" stopIfTrue="1" operator="equal">
      <formula>$A$30</formula>
    </cfRule>
  </conditionalFormatting>
  <conditionalFormatting sqref="ES15:ES17">
    <cfRule type="cellIs" dxfId="811" priority="145" stopIfTrue="1" operator="equal">
      <formula>$A$31</formula>
    </cfRule>
  </conditionalFormatting>
  <conditionalFormatting sqref="ES16">
    <cfRule type="cellIs" dxfId="810" priority="146" stopIfTrue="1" operator="equal">
      <formula>$A$30</formula>
    </cfRule>
  </conditionalFormatting>
  <conditionalFormatting sqref="ES16">
    <cfRule type="cellIs" dxfId="809" priority="144" stopIfTrue="1" operator="equal">
      <formula>$A$30</formula>
    </cfRule>
  </conditionalFormatting>
  <conditionalFormatting sqref="ES15">
    <cfRule type="cellIs" dxfId="808" priority="143" stopIfTrue="1" operator="equal">
      <formula>$A$30</formula>
    </cfRule>
  </conditionalFormatting>
  <conditionalFormatting sqref="ES13">
    <cfRule type="cellIs" dxfId="807" priority="100" stopIfTrue="1" operator="equal">
      <formula>$A$31</formula>
    </cfRule>
  </conditionalFormatting>
  <conditionalFormatting sqref="ES18">
    <cfRule type="cellIs" dxfId="806" priority="99" stopIfTrue="1" operator="equal">
      <formula>$A$31</formula>
    </cfRule>
  </conditionalFormatting>
  <conditionalFormatting sqref="ET8">
    <cfRule type="cellIs" dxfId="805" priority="86" stopIfTrue="1" operator="equal">
      <formula>$A$31</formula>
    </cfRule>
  </conditionalFormatting>
  <conditionalFormatting sqref="ET14">
    <cfRule type="cellIs" dxfId="804" priority="85" stopIfTrue="1" operator="equal">
      <formula>$A$31</formula>
    </cfRule>
  </conditionalFormatting>
  <conditionalFormatting sqref="ET13">
    <cfRule type="cellIs" dxfId="803" priority="80" stopIfTrue="1" operator="equal">
      <formula>$A$31</formula>
    </cfRule>
  </conditionalFormatting>
  <conditionalFormatting sqref="EU8">
    <cfRule type="cellIs" dxfId="802" priority="79" stopIfTrue="1" operator="equal">
      <formula>$A$31</formula>
    </cfRule>
  </conditionalFormatting>
  <conditionalFormatting sqref="EU14">
    <cfRule type="cellIs" dxfId="801" priority="78" stopIfTrue="1" operator="equal">
      <formula>$A$31</formula>
    </cfRule>
  </conditionalFormatting>
  <conditionalFormatting sqref="EU13">
    <cfRule type="cellIs" dxfId="800" priority="73" stopIfTrue="1" operator="equal">
      <formula>$A$31</formula>
    </cfRule>
  </conditionalFormatting>
  <conditionalFormatting sqref="EU18">
    <cfRule type="cellIs" dxfId="799" priority="72" stopIfTrue="1" operator="equal">
      <formula>$A$31</formula>
    </cfRule>
  </conditionalFormatting>
  <conditionalFormatting sqref="EV13:EW13">
    <cfRule type="cellIs" dxfId="798" priority="58" stopIfTrue="1" operator="equal">
      <formula>$A$31</formula>
    </cfRule>
  </conditionalFormatting>
  <conditionalFormatting sqref="EV8">
    <cfRule type="cellIs" dxfId="797" priority="57" stopIfTrue="1" operator="equal">
      <formula>$A$31</formula>
    </cfRule>
  </conditionalFormatting>
  <conditionalFormatting sqref="EV11">
    <cfRule type="cellIs" dxfId="796" priority="56" stopIfTrue="1" operator="equal">
      <formula>$A$30</formula>
    </cfRule>
  </conditionalFormatting>
  <conditionalFormatting sqref="EW8">
    <cfRule type="cellIs" dxfId="795" priority="50" stopIfTrue="1" operator="equal">
      <formula>$A$31</formula>
    </cfRule>
  </conditionalFormatting>
  <conditionalFormatting sqref="EW11">
    <cfRule type="cellIs" dxfId="794" priority="49" stopIfTrue="1" operator="equal">
      <formula>$A$30</formula>
    </cfRule>
  </conditionalFormatting>
  <conditionalFormatting sqref="EX8">
    <cfRule type="cellIs" dxfId="793" priority="44" stopIfTrue="1" operator="equal">
      <formula>$A$31</formula>
    </cfRule>
  </conditionalFormatting>
  <conditionalFormatting sqref="EX13">
    <cfRule type="cellIs" dxfId="792" priority="43" stopIfTrue="1" operator="equal">
      <formula>$A$31</formula>
    </cfRule>
  </conditionalFormatting>
  <conditionalFormatting sqref="EX18">
    <cfRule type="cellIs" dxfId="791" priority="42" stopIfTrue="1" operator="equal">
      <formula>$A$31</formula>
    </cfRule>
  </conditionalFormatting>
  <conditionalFormatting sqref="EX16:EX17">
    <cfRule type="cellIs" dxfId="790" priority="40" stopIfTrue="1" operator="equal">
      <formula>$A$31</formula>
    </cfRule>
  </conditionalFormatting>
  <conditionalFormatting sqref="EX14">
    <cfRule type="cellIs" dxfId="789" priority="39" stopIfTrue="1" operator="equal">
      <formula>$A$31</formula>
    </cfRule>
  </conditionalFormatting>
  <conditionalFormatting sqref="EX9">
    <cfRule type="cellIs" dxfId="788" priority="36" stopIfTrue="1" operator="equal">
      <formula>$A$31</formula>
    </cfRule>
  </conditionalFormatting>
  <conditionalFormatting sqref="EX15">
    <cfRule type="cellIs" dxfId="787" priority="26" stopIfTrue="1" operator="equal">
      <formula>$A$31</formula>
    </cfRule>
  </conditionalFormatting>
  <conditionalFormatting sqref="EY8">
    <cfRule type="cellIs" dxfId="786" priority="22" stopIfTrue="1" operator="equal">
      <formula>$A$31</formula>
    </cfRule>
  </conditionalFormatting>
  <conditionalFormatting sqref="EY13">
    <cfRule type="cellIs" dxfId="785" priority="21" stopIfTrue="1" operator="equal">
      <formula>$A$31</formula>
    </cfRule>
  </conditionalFormatting>
  <conditionalFormatting sqref="EY18">
    <cfRule type="cellIs" dxfId="784" priority="20" stopIfTrue="1" operator="equal">
      <formula>$A$31</formula>
    </cfRule>
  </conditionalFormatting>
  <conditionalFormatting sqref="EY16:EY17">
    <cfRule type="cellIs" dxfId="783" priority="18" stopIfTrue="1" operator="equal">
      <formula>$A$31</formula>
    </cfRule>
  </conditionalFormatting>
  <conditionalFormatting sqref="EY14">
    <cfRule type="cellIs" dxfId="782" priority="17" stopIfTrue="1" operator="equal">
      <formula>$A$31</formula>
    </cfRule>
  </conditionalFormatting>
  <conditionalFormatting sqref="EY9">
    <cfRule type="cellIs" dxfId="781" priority="14" stopIfTrue="1" operator="equal">
      <formula>$A$31</formula>
    </cfRule>
  </conditionalFormatting>
  <conditionalFormatting sqref="EY15">
    <cfRule type="cellIs" dxfId="780" priority="4" stopIfTrue="1" operator="equal">
      <formula>$A$31</formula>
    </cfRule>
  </conditionalFormatting>
  <conditionalFormatting sqref="I10:R10">
    <cfRule type="cellIs" dxfId="779" priority="3549"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W1" activePane="topRight" state="frozen"/>
      <selection pane="topRight" activeCell="CQ10" sqref="CQ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412</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391</v>
      </c>
      <c r="BN5" s="1294"/>
      <c r="BO5" s="1295"/>
      <c r="BP5" s="1294"/>
      <c r="BQ5" s="1295"/>
      <c r="BR5" s="1294"/>
      <c r="BS5" s="1295"/>
      <c r="BT5" s="1294"/>
      <c r="BU5" s="1295"/>
      <c r="BV5" s="1440" t="s">
        <v>275</v>
      </c>
      <c r="BW5" s="1474" t="s">
        <v>255</v>
      </c>
      <c r="BX5" s="1474"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460</v>
      </c>
      <c r="CL5" s="1357" t="s">
        <v>461</v>
      </c>
      <c r="CM5" s="1357" t="s">
        <v>462</v>
      </c>
      <c r="CN5" s="1373" t="s">
        <v>373</v>
      </c>
      <c r="CO5" s="1373" t="s">
        <v>366</v>
      </c>
      <c r="CP5" s="1373" t="s">
        <v>372</v>
      </c>
      <c r="CQ5" s="1376" t="s">
        <v>371</v>
      </c>
      <c r="CR5" s="1376" t="s">
        <v>42</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483</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624</v>
      </c>
      <c r="ED5" s="1453" t="s">
        <v>594</v>
      </c>
      <c r="EE5" s="1453" t="s">
        <v>627</v>
      </c>
      <c r="EF5" s="1453" t="s">
        <v>628</v>
      </c>
      <c r="EG5" s="1456" t="s">
        <v>629</v>
      </c>
      <c r="EH5" s="1456" t="s">
        <v>630</v>
      </c>
      <c r="EI5" s="1456" t="s">
        <v>596</v>
      </c>
      <c r="EJ5" s="1456" t="s">
        <v>597</v>
      </c>
      <c r="EK5" s="1477" t="s">
        <v>674</v>
      </c>
      <c r="EL5" s="1468" t="s">
        <v>690</v>
      </c>
      <c r="EM5" s="1469"/>
      <c r="EN5" s="1470"/>
      <c r="EO5" s="1369" t="s">
        <v>748</v>
      </c>
      <c r="EP5" s="1369" t="s">
        <v>750</v>
      </c>
      <c r="EQ5" s="1369" t="s">
        <v>751</v>
      </c>
      <c r="ER5" s="1369" t="s">
        <v>756</v>
      </c>
      <c r="ES5" s="1369" t="s">
        <v>761</v>
      </c>
      <c r="ET5" s="1462" t="s">
        <v>828</v>
      </c>
      <c r="EU5" s="1462" t="s">
        <v>829</v>
      </c>
      <c r="EV5" s="1372" t="s">
        <v>845</v>
      </c>
      <c r="EW5" s="1456" t="s">
        <v>848</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75"/>
      <c r="BX6" s="1475"/>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78"/>
      <c r="EL6" s="1471"/>
      <c r="EM6" s="1472"/>
      <c r="EN6" s="1473"/>
      <c r="EO6" s="1370"/>
      <c r="EP6" s="1370"/>
      <c r="EQ6" s="1370"/>
      <c r="ER6" s="1370"/>
      <c r="ES6" s="1370"/>
      <c r="ET6" s="1463"/>
      <c r="EU6" s="1463"/>
      <c r="EV6" s="1361"/>
      <c r="EW6" s="1457"/>
      <c r="EX6" s="1364"/>
      <c r="EY6" s="1352"/>
    </row>
    <row r="7" spans="1:155" ht="87" customHeight="1" thickBot="1">
      <c r="A7" s="69" t="s">
        <v>747</v>
      </c>
      <c r="B7" s="1403"/>
      <c r="C7" s="1406"/>
      <c r="D7" s="66" t="s">
        <v>404</v>
      </c>
      <c r="E7" s="67" t="s">
        <v>126</v>
      </c>
      <c r="F7" s="67" t="s">
        <v>125</v>
      </c>
      <c r="G7" s="121" t="s">
        <v>35</v>
      </c>
      <c r="H7" s="122" t="s">
        <v>405</v>
      </c>
      <c r="I7" s="9" t="s">
        <v>379</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76"/>
      <c r="BX7" s="1476"/>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79"/>
      <c r="EL7" s="642" t="s">
        <v>691</v>
      </c>
      <c r="EM7" s="642" t="s">
        <v>95</v>
      </c>
      <c r="EN7" s="642" t="s">
        <v>96</v>
      </c>
      <c r="EO7" s="1371"/>
      <c r="EP7" s="1371"/>
      <c r="EQ7" s="1371"/>
      <c r="ER7" s="1371"/>
      <c r="ES7" s="1371"/>
      <c r="ET7" s="1464"/>
      <c r="EU7" s="1464"/>
      <c r="EV7" s="1362"/>
      <c r="EW7" s="1458"/>
      <c r="EX7" s="1365"/>
      <c r="EY7" s="1353"/>
    </row>
    <row r="8" spans="1:155" ht="14.25" customHeight="1" thickBot="1">
      <c r="A8" s="70" t="s">
        <v>102</v>
      </c>
      <c r="B8" s="141" t="s">
        <v>406</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160</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220</v>
      </c>
      <c r="BD8" s="50" t="s">
        <v>153</v>
      </c>
      <c r="BE8" s="50" t="s">
        <v>158</v>
      </c>
      <c r="BF8" s="50" t="s">
        <v>159</v>
      </c>
      <c r="BG8" s="50" t="s">
        <v>215</v>
      </c>
      <c r="BH8" s="50" t="s">
        <v>216</v>
      </c>
      <c r="BI8" s="50" t="s">
        <v>223</v>
      </c>
      <c r="BJ8" s="50" t="s">
        <v>234</v>
      </c>
      <c r="BK8" s="50" t="s">
        <v>237</v>
      </c>
      <c r="BL8" s="50" t="s">
        <v>238</v>
      </c>
      <c r="BM8" s="50"/>
      <c r="BN8" s="50"/>
      <c r="BO8" s="50"/>
      <c r="BP8" s="50"/>
      <c r="BQ8" s="50"/>
      <c r="BR8" s="50"/>
      <c r="BS8" s="50"/>
      <c r="BT8" s="50"/>
      <c r="BU8" s="50"/>
      <c r="BV8" s="50" t="s">
        <v>286</v>
      </c>
      <c r="BW8" s="50" t="s">
        <v>287</v>
      </c>
      <c r="BX8" s="50" t="s">
        <v>292</v>
      </c>
      <c r="BY8" s="50" t="s">
        <v>294</v>
      </c>
      <c r="BZ8" s="50" t="s">
        <v>299</v>
      </c>
      <c r="CA8" s="50" t="s">
        <v>300</v>
      </c>
      <c r="CB8" s="50" t="s">
        <v>353</v>
      </c>
      <c r="CC8" s="50" t="s">
        <v>355</v>
      </c>
      <c r="CD8" s="50" t="s">
        <v>357</v>
      </c>
      <c r="CE8" s="50" t="s">
        <v>367</v>
      </c>
      <c r="CF8" s="50" t="s">
        <v>368</v>
      </c>
      <c r="CG8" s="50" t="s">
        <v>369</v>
      </c>
      <c r="CH8" s="50" t="s">
        <v>370</v>
      </c>
      <c r="CI8" s="50" t="s">
        <v>394</v>
      </c>
      <c r="CJ8" s="50" t="s">
        <v>396</v>
      </c>
      <c r="CK8" s="50" t="s">
        <v>233</v>
      </c>
      <c r="CL8" s="50" t="s">
        <v>319</v>
      </c>
      <c r="CM8" s="50" t="s">
        <v>322</v>
      </c>
      <c r="CN8" s="50"/>
      <c r="CO8" s="50"/>
      <c r="CP8" s="50"/>
      <c r="CQ8" s="50" t="s">
        <v>348</v>
      </c>
      <c r="CR8" s="50" t="s">
        <v>349</v>
      </c>
      <c r="CS8" s="50" t="s">
        <v>169</v>
      </c>
      <c r="CT8" s="50" t="s">
        <v>188</v>
      </c>
      <c r="CU8" s="50" t="s">
        <v>189</v>
      </c>
      <c r="CV8" s="50" t="s">
        <v>190</v>
      </c>
      <c r="CW8" s="50" t="s">
        <v>191</v>
      </c>
      <c r="CX8" s="50" t="s">
        <v>192</v>
      </c>
      <c r="CY8" s="50" t="s">
        <v>193</v>
      </c>
      <c r="CZ8" s="50" t="s">
        <v>194</v>
      </c>
      <c r="DA8" s="50" t="s">
        <v>195</v>
      </c>
      <c r="DB8" s="50" t="s">
        <v>196</v>
      </c>
      <c r="DC8" s="50" t="s">
        <v>200</v>
      </c>
      <c r="DD8" s="50" t="s">
        <v>201</v>
      </c>
      <c r="DE8" s="50" t="s">
        <v>412</v>
      </c>
      <c r="DF8" s="50" t="s">
        <v>43</v>
      </c>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3"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473" t="s">
        <v>692</v>
      </c>
      <c r="EM8" s="473" t="s">
        <v>693</v>
      </c>
      <c r="EN8" s="473" t="s">
        <v>694</v>
      </c>
      <c r="EO8" s="50" t="s">
        <v>749</v>
      </c>
      <c r="EP8" s="50" t="s">
        <v>754</v>
      </c>
      <c r="EQ8" s="50" t="s">
        <v>755</v>
      </c>
      <c r="ER8" s="473">
        <v>148</v>
      </c>
      <c r="ES8" s="473" t="s">
        <v>762</v>
      </c>
      <c r="ET8" s="1144" t="s">
        <v>830</v>
      </c>
      <c r="EU8" s="1144" t="s">
        <v>831</v>
      </c>
      <c r="EV8" s="1144" t="s">
        <v>839</v>
      </c>
      <c r="EW8" s="473" t="s">
        <v>847</v>
      </c>
      <c r="EX8" s="473" t="s">
        <v>867</v>
      </c>
      <c r="EY8" s="473" t="s">
        <v>880</v>
      </c>
    </row>
    <row r="9" spans="1:155" ht="14.25" customHeight="1">
      <c r="A9" s="20" t="s">
        <v>45</v>
      </c>
      <c r="B9" s="21" t="s">
        <v>406</v>
      </c>
      <c r="C9" s="22" t="s">
        <v>3</v>
      </c>
      <c r="D9" s="23" t="s">
        <v>20</v>
      </c>
      <c r="E9" s="21" t="s">
        <v>21</v>
      </c>
      <c r="F9" s="21">
        <v>32</v>
      </c>
      <c r="G9" s="6"/>
      <c r="H9" s="136" t="s">
        <v>248</v>
      </c>
      <c r="I9" s="58" t="s">
        <v>871</v>
      </c>
      <c r="J9" s="57" t="s">
        <v>873</v>
      </c>
      <c r="K9" s="57" t="s">
        <v>875</v>
      </c>
      <c r="L9" s="57" t="s">
        <v>877</v>
      </c>
      <c r="M9" s="57" t="s">
        <v>879</v>
      </c>
      <c r="N9" s="57" t="s">
        <v>882</v>
      </c>
      <c r="O9" s="57" t="s">
        <v>326</v>
      </c>
      <c r="P9" s="57" t="s">
        <v>374</v>
      </c>
      <c r="Q9" s="57" t="s">
        <v>375</v>
      </c>
      <c r="R9" s="57" t="s">
        <v>376</v>
      </c>
      <c r="S9" s="57"/>
      <c r="T9" s="57"/>
      <c r="U9" s="57"/>
      <c r="V9" s="57"/>
      <c r="W9" s="57"/>
      <c r="X9" s="61"/>
      <c r="Y9" s="62" t="s">
        <v>207</v>
      </c>
      <c r="Z9" s="57" t="s">
        <v>377</v>
      </c>
      <c r="AA9" s="57" t="s">
        <v>154</v>
      </c>
      <c r="AB9" s="57" t="s">
        <v>155</v>
      </c>
      <c r="AC9" s="57"/>
      <c r="AD9" s="57"/>
      <c r="AE9" s="57"/>
      <c r="AF9" s="61"/>
      <c r="AG9" s="62"/>
      <c r="AH9" s="57"/>
      <c r="AI9" s="57"/>
      <c r="AJ9" s="63"/>
      <c r="AK9" s="58"/>
      <c r="AL9" s="57"/>
      <c r="AM9" s="57"/>
      <c r="AN9" s="61"/>
      <c r="AO9" s="64"/>
      <c r="AP9" s="64"/>
      <c r="AQ9" s="64"/>
      <c r="AR9" s="60"/>
      <c r="AS9" s="320" t="s">
        <v>888</v>
      </c>
      <c r="AT9" s="198"/>
      <c r="AU9" s="320" t="s">
        <v>816</v>
      </c>
      <c r="AV9" s="198"/>
      <c r="AW9" s="320" t="s">
        <v>819</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503</v>
      </c>
      <c r="BW9" s="159" t="s">
        <v>306</v>
      </c>
      <c r="BX9" s="159" t="s">
        <v>307</v>
      </c>
      <c r="BY9" s="159" t="s">
        <v>895</v>
      </c>
      <c r="BZ9" s="159" t="s">
        <v>485</v>
      </c>
      <c r="CA9" s="159" t="s">
        <v>416</v>
      </c>
      <c r="CB9" s="159" t="s">
        <v>417</v>
      </c>
      <c r="CC9" s="159" t="s">
        <v>418</v>
      </c>
      <c r="CD9" s="159" t="s">
        <v>419</v>
      </c>
      <c r="CE9" s="159"/>
      <c r="CF9" s="159"/>
      <c r="CG9" s="159"/>
      <c r="CH9" s="159"/>
      <c r="CI9" s="159" t="s">
        <v>510</v>
      </c>
      <c r="CJ9" s="159" t="s">
        <v>420</v>
      </c>
      <c r="CK9" s="159" t="s">
        <v>497</v>
      </c>
      <c r="CL9" s="159" t="s">
        <v>499</v>
      </c>
      <c r="CM9" s="159" t="s">
        <v>501</v>
      </c>
      <c r="CN9" s="159">
        <v>1088</v>
      </c>
      <c r="CO9" s="159">
        <v>720</v>
      </c>
      <c r="CP9" s="159">
        <v>1088</v>
      </c>
      <c r="CQ9" s="292" t="s">
        <v>861</v>
      </c>
      <c r="CR9" s="292" t="s">
        <v>486</v>
      </c>
      <c r="CS9" s="159"/>
      <c r="CT9" s="159"/>
      <c r="CU9" s="159"/>
      <c r="CV9" s="159" t="s">
        <v>508</v>
      </c>
      <c r="CW9" s="159" t="s">
        <v>415</v>
      </c>
      <c r="CX9" s="159" t="s">
        <v>346</v>
      </c>
      <c r="CY9" s="159" t="s">
        <v>443</v>
      </c>
      <c r="CZ9" s="159" t="s">
        <v>444</v>
      </c>
      <c r="DA9" s="159" t="s">
        <v>445</v>
      </c>
      <c r="DB9" s="320" t="s">
        <v>889</v>
      </c>
      <c r="DC9" s="320" t="s">
        <v>890</v>
      </c>
      <c r="DD9" s="159"/>
      <c r="DE9" s="159" t="s">
        <v>244</v>
      </c>
      <c r="DF9" s="159"/>
      <c r="DG9" s="159" t="s">
        <v>449</v>
      </c>
      <c r="DH9" s="159" t="s">
        <v>505</v>
      </c>
      <c r="DI9" s="159" t="s">
        <v>506</v>
      </c>
      <c r="DJ9" s="159" t="s">
        <v>507</v>
      </c>
      <c r="DK9" s="159"/>
      <c r="DL9" s="159"/>
      <c r="DM9" s="159"/>
      <c r="DN9" s="159"/>
      <c r="DO9" s="159"/>
      <c r="DP9" s="159"/>
      <c r="DQ9" s="159"/>
      <c r="DR9" s="159"/>
      <c r="DS9" s="159"/>
      <c r="DT9" s="159"/>
      <c r="DU9" s="159" t="s">
        <v>681</v>
      </c>
      <c r="DV9" s="159" t="s">
        <v>676</v>
      </c>
      <c r="DW9" s="159" t="s">
        <v>677</v>
      </c>
      <c r="DX9" s="159" t="s">
        <v>678</v>
      </c>
      <c r="DY9" s="159" t="s">
        <v>679</v>
      </c>
      <c r="DZ9" s="159"/>
      <c r="EA9" s="159"/>
      <c r="EB9" s="159"/>
      <c r="EC9" s="159"/>
      <c r="ED9" s="159"/>
      <c r="EE9" s="159"/>
      <c r="EF9" s="159"/>
      <c r="EG9" s="159"/>
      <c r="EH9" s="159"/>
      <c r="EI9" s="159"/>
      <c r="EJ9" s="159"/>
      <c r="EK9" s="159"/>
      <c r="EL9" s="292" t="s">
        <v>801</v>
      </c>
      <c r="EM9" s="292" t="s">
        <v>802</v>
      </c>
      <c r="EN9" s="159" t="s">
        <v>800</v>
      </c>
      <c r="EO9" s="992" t="s">
        <v>891</v>
      </c>
      <c r="EP9" s="992" t="s">
        <v>898</v>
      </c>
      <c r="EQ9" s="992" t="s">
        <v>900</v>
      </c>
      <c r="ER9" s="1003">
        <v>1200</v>
      </c>
      <c r="ES9" s="1000"/>
      <c r="ET9" s="1145"/>
      <c r="EU9" s="1145"/>
      <c r="EV9" s="159" t="s">
        <v>842</v>
      </c>
      <c r="EW9" s="159"/>
      <c r="EX9" s="159"/>
      <c r="EY9" s="159"/>
    </row>
    <row r="10" spans="1:155" ht="14.25" customHeight="1">
      <c r="A10" s="137" t="s">
        <v>143</v>
      </c>
      <c r="B10" s="21" t="s">
        <v>406</v>
      </c>
      <c r="C10" s="22" t="s">
        <v>3</v>
      </c>
      <c r="D10" s="23" t="s">
        <v>82</v>
      </c>
      <c r="E10" s="21" t="s">
        <v>82</v>
      </c>
      <c r="F10" s="21" t="s">
        <v>138</v>
      </c>
      <c r="G10" s="6"/>
      <c r="H10" s="136"/>
      <c r="I10" s="183" t="s">
        <v>524</v>
      </c>
      <c r="J10" s="184" t="s">
        <v>522</v>
      </c>
      <c r="K10" s="184" t="s">
        <v>523</v>
      </c>
      <c r="L10" s="184" t="s">
        <v>528</v>
      </c>
      <c r="M10" s="57" t="s">
        <v>517</v>
      </c>
      <c r="N10" s="57" t="s">
        <v>139</v>
      </c>
      <c r="O10" s="57" t="s">
        <v>230</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763</v>
      </c>
      <c r="AT10" s="63"/>
      <c r="AU10" s="151" t="s">
        <v>764</v>
      </c>
      <c r="AV10" s="63"/>
      <c r="AW10" s="151" t="s">
        <v>765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313</v>
      </c>
      <c r="BW10" s="157" t="s">
        <v>350</v>
      </c>
      <c r="BX10" s="157" t="s">
        <v>351</v>
      </c>
      <c r="BY10" s="157" t="s">
        <v>766</v>
      </c>
      <c r="BZ10" s="157"/>
      <c r="CA10" s="157"/>
      <c r="CB10" s="157"/>
      <c r="CC10" s="157"/>
      <c r="CD10" s="157"/>
      <c r="CE10" s="157"/>
      <c r="CF10" s="157"/>
      <c r="CG10" s="157"/>
      <c r="CH10" s="157"/>
      <c r="CI10" s="157" t="s">
        <v>512</v>
      </c>
      <c r="CJ10" s="157" t="s">
        <v>303</v>
      </c>
      <c r="CK10" s="157" t="s">
        <v>463</v>
      </c>
      <c r="CL10" s="157" t="s">
        <v>464</v>
      </c>
      <c r="CM10" s="157" t="s">
        <v>465</v>
      </c>
      <c r="CN10" s="157">
        <v>1175</v>
      </c>
      <c r="CO10" s="157">
        <v>0</v>
      </c>
      <c r="CP10" s="292" t="s">
        <v>422</v>
      </c>
      <c r="CQ10" s="157" t="s">
        <v>767</v>
      </c>
      <c r="CR10" s="157"/>
      <c r="CS10" s="157"/>
      <c r="CT10" s="159"/>
      <c r="CU10" s="159"/>
      <c r="CV10" s="159" t="s">
        <v>318</v>
      </c>
      <c r="CW10" s="159" t="s">
        <v>342</v>
      </c>
      <c r="CX10" s="159" t="s">
        <v>345</v>
      </c>
      <c r="CY10" s="159" t="s">
        <v>513</v>
      </c>
      <c r="CZ10" s="159" t="s">
        <v>514</v>
      </c>
      <c r="DA10" s="159" t="s">
        <v>515</v>
      </c>
      <c r="DB10" s="323" t="s">
        <v>525</v>
      </c>
      <c r="DC10" s="322"/>
      <c r="DD10" s="159"/>
      <c r="DE10" s="159" t="s">
        <v>245</v>
      </c>
      <c r="DF10" s="159"/>
      <c r="DG10" s="159" t="s">
        <v>516</v>
      </c>
      <c r="DH10" s="157" t="s">
        <v>436</v>
      </c>
      <c r="DI10" s="157" t="s">
        <v>434</v>
      </c>
      <c r="DJ10" s="157" t="s">
        <v>435</v>
      </c>
      <c r="DK10" s="157"/>
      <c r="DL10" s="157"/>
      <c r="DM10" s="292"/>
      <c r="DN10" s="292"/>
      <c r="DO10" s="292"/>
      <c r="DP10" s="292"/>
      <c r="DQ10" s="292"/>
      <c r="DR10" s="292"/>
      <c r="DS10" s="292"/>
      <c r="DT10" s="292"/>
      <c r="DU10" s="158" t="s">
        <v>614</v>
      </c>
      <c r="DV10" s="292" t="s">
        <v>728</v>
      </c>
      <c r="DW10" s="292" t="s">
        <v>725</v>
      </c>
      <c r="DX10" s="292" t="s">
        <v>726</v>
      </c>
      <c r="DY10" s="292" t="s">
        <v>727</v>
      </c>
      <c r="DZ10" s="292"/>
      <c r="EA10" s="292"/>
      <c r="EB10" s="292"/>
      <c r="EC10" s="292"/>
      <c r="ED10" s="292"/>
      <c r="EE10" s="292"/>
      <c r="EF10" s="292"/>
      <c r="EG10" s="292"/>
      <c r="EH10" s="292"/>
      <c r="EI10" s="292"/>
      <c r="EJ10" s="292"/>
      <c r="EK10" s="292"/>
      <c r="EL10" s="292"/>
      <c r="EM10" s="292"/>
      <c r="EN10" s="292"/>
      <c r="EO10" s="323" t="s">
        <v>772</v>
      </c>
      <c r="EP10" s="323" t="s">
        <v>773</v>
      </c>
      <c r="EQ10" s="323" t="s">
        <v>774</v>
      </c>
      <c r="ER10" s="1004">
        <v>1600</v>
      </c>
      <c r="ES10" s="342"/>
      <c r="ET10" s="1145"/>
      <c r="EU10" s="1145"/>
      <c r="EV10" s="159" t="s">
        <v>844</v>
      </c>
      <c r="EW10" s="292"/>
      <c r="EX10" s="292"/>
      <c r="EY10" s="292"/>
    </row>
    <row r="11" spans="1:155" ht="14.25" customHeight="1" thickBot="1">
      <c r="A11" s="20" t="s">
        <v>407</v>
      </c>
      <c r="B11" s="21" t="s">
        <v>406</v>
      </c>
      <c r="C11" s="22" t="s">
        <v>3</v>
      </c>
      <c r="D11" s="23" t="s">
        <v>20</v>
      </c>
      <c r="E11" s="21" t="s">
        <v>51</v>
      </c>
      <c r="F11" s="21">
        <v>32</v>
      </c>
      <c r="G11" s="6"/>
      <c r="H11" s="28" t="s">
        <v>36</v>
      </c>
      <c r="I11" s="25" t="s">
        <v>812</v>
      </c>
      <c r="J11" s="26" t="s">
        <v>809</v>
      </c>
      <c r="K11" s="26" t="s">
        <v>860</v>
      </c>
      <c r="L11" s="26" t="s">
        <v>820</v>
      </c>
      <c r="M11" s="26" t="s">
        <v>494</v>
      </c>
      <c r="N11" s="26" t="s">
        <v>38</v>
      </c>
      <c r="O11" s="57" t="s">
        <v>227</v>
      </c>
      <c r="P11" s="26" t="s">
        <v>39</v>
      </c>
      <c r="Q11" s="26" t="s">
        <v>40</v>
      </c>
      <c r="R11" s="26" t="s">
        <v>91</v>
      </c>
      <c r="S11" s="26"/>
      <c r="T11" s="26"/>
      <c r="U11" s="26"/>
      <c r="V11" s="26"/>
      <c r="W11" s="26"/>
      <c r="X11" s="52"/>
      <c r="Y11" s="62" t="s">
        <v>207</v>
      </c>
      <c r="Z11" s="57" t="s">
        <v>377</v>
      </c>
      <c r="AA11" s="57" t="s">
        <v>154</v>
      </c>
      <c r="AB11" s="57" t="s">
        <v>155</v>
      </c>
      <c r="AC11" s="26"/>
      <c r="AD11" s="26"/>
      <c r="AE11" s="26"/>
      <c r="AF11" s="52"/>
      <c r="AG11" s="49"/>
      <c r="AH11" s="26"/>
      <c r="AI11" s="26"/>
      <c r="AJ11" s="27"/>
      <c r="AK11" s="25"/>
      <c r="AL11" s="26"/>
      <c r="AM11" s="26"/>
      <c r="AN11" s="52"/>
      <c r="AO11" s="59"/>
      <c r="AP11" s="59"/>
      <c r="AQ11" s="59"/>
      <c r="AR11" s="64"/>
      <c r="AS11" s="49" t="s">
        <v>810</v>
      </c>
      <c r="AT11" s="27"/>
      <c r="AU11" s="49" t="s">
        <v>817</v>
      </c>
      <c r="AV11" s="27"/>
      <c r="AW11" s="49" t="s">
        <v>821</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502</v>
      </c>
      <c r="BW11" s="159" t="s">
        <v>257</v>
      </c>
      <c r="BX11" s="159" t="s">
        <v>258</v>
      </c>
      <c r="BY11" s="160" t="s">
        <v>897</v>
      </c>
      <c r="BZ11" s="159" t="s">
        <v>746</v>
      </c>
      <c r="CA11" s="159" t="s">
        <v>293</v>
      </c>
      <c r="CB11" s="159" t="s">
        <v>288</v>
      </c>
      <c r="CC11" s="159" t="s">
        <v>289</v>
      </c>
      <c r="CD11" s="159" t="s">
        <v>290</v>
      </c>
      <c r="CE11" s="160"/>
      <c r="CF11" s="160"/>
      <c r="CG11" s="160"/>
      <c r="CH11" s="160"/>
      <c r="CI11" s="160" t="s">
        <v>487</v>
      </c>
      <c r="CJ11" s="160" t="s">
        <v>301</v>
      </c>
      <c r="CK11" s="159" t="s">
        <v>496</v>
      </c>
      <c r="CL11" s="159" t="s">
        <v>498</v>
      </c>
      <c r="CM11" s="159" t="s">
        <v>500</v>
      </c>
      <c r="CN11" s="159">
        <v>1088</v>
      </c>
      <c r="CO11" s="160">
        <v>1000</v>
      </c>
      <c r="CP11" s="159">
        <v>1088</v>
      </c>
      <c r="CQ11" s="159" t="s">
        <v>864</v>
      </c>
      <c r="CR11" s="159" t="s">
        <v>863</v>
      </c>
      <c r="CS11" s="160"/>
      <c r="CT11" s="159"/>
      <c r="CU11" s="159"/>
      <c r="CV11" s="159" t="s">
        <v>508</v>
      </c>
      <c r="CW11" s="159" t="s">
        <v>339</v>
      </c>
      <c r="CX11" s="159" t="s">
        <v>346</v>
      </c>
      <c r="CY11" s="159" t="s">
        <v>443</v>
      </c>
      <c r="CZ11" s="159" t="s">
        <v>444</v>
      </c>
      <c r="DA11" s="159" t="s">
        <v>445</v>
      </c>
      <c r="DB11" s="150" t="s">
        <v>883</v>
      </c>
      <c r="DC11" s="150" t="s">
        <v>884</v>
      </c>
      <c r="DD11" s="159"/>
      <c r="DE11" s="159" t="s">
        <v>246</v>
      </c>
      <c r="DF11" s="159"/>
      <c r="DG11" s="159" t="s">
        <v>449</v>
      </c>
      <c r="DH11" s="159" t="s">
        <v>505</v>
      </c>
      <c r="DI11" s="159" t="s">
        <v>506</v>
      </c>
      <c r="DJ11" s="159" t="s">
        <v>507</v>
      </c>
      <c r="DK11" s="159"/>
      <c r="DL11" s="159"/>
      <c r="DM11" s="292"/>
      <c r="DN11" s="292"/>
      <c r="DO11" s="292"/>
      <c r="DP11" s="292"/>
      <c r="DQ11" s="292"/>
      <c r="DR11" s="292"/>
      <c r="DS11" s="292"/>
      <c r="DT11" s="292"/>
      <c r="DU11" s="292" t="s">
        <v>681</v>
      </c>
      <c r="DV11" s="292" t="s">
        <v>676</v>
      </c>
      <c r="DW11" s="292" t="s">
        <v>677</v>
      </c>
      <c r="DX11" s="292" t="s">
        <v>678</v>
      </c>
      <c r="DY11" s="292" t="s">
        <v>679</v>
      </c>
      <c r="DZ11" s="292"/>
      <c r="EA11" s="292"/>
      <c r="EB11" s="292"/>
      <c r="EC11" s="292"/>
      <c r="ED11" s="292"/>
      <c r="EE11" s="292"/>
      <c r="EF11" s="292"/>
      <c r="EG11" s="292"/>
      <c r="EH11" s="292"/>
      <c r="EI11" s="292"/>
      <c r="EJ11" s="292"/>
      <c r="EK11" s="292"/>
      <c r="EL11" s="292"/>
      <c r="EM11" s="292"/>
      <c r="EN11" s="292"/>
      <c r="EO11" s="991" t="s">
        <v>892</v>
      </c>
      <c r="EP11" s="991" t="s">
        <v>865</v>
      </c>
      <c r="EQ11" s="991" t="s">
        <v>866</v>
      </c>
      <c r="ER11" s="1005">
        <v>1323</v>
      </c>
      <c r="ES11" s="1001"/>
      <c r="ET11" s="1145"/>
      <c r="EU11" s="1145"/>
      <c r="EV11" s="159" t="s">
        <v>841</v>
      </c>
      <c r="EW11" s="292"/>
      <c r="EX11" s="292"/>
      <c r="EY11" s="292"/>
    </row>
    <row r="12" spans="1:155" ht="14.25" customHeight="1">
      <c r="A12" s="20" t="s">
        <v>408</v>
      </c>
      <c r="B12" s="21" t="s">
        <v>406</v>
      </c>
      <c r="C12" s="22" t="s">
        <v>3</v>
      </c>
      <c r="D12" s="23" t="s">
        <v>20</v>
      </c>
      <c r="E12" s="21" t="s">
        <v>20</v>
      </c>
      <c r="F12" s="21">
        <v>31</v>
      </c>
      <c r="G12" s="6"/>
      <c r="H12" s="29"/>
      <c r="I12" s="25" t="s">
        <v>872</v>
      </c>
      <c r="J12" s="26" t="s">
        <v>874</v>
      </c>
      <c r="K12" s="26" t="s">
        <v>876</v>
      </c>
      <c r="L12" s="26" t="s">
        <v>878</v>
      </c>
      <c r="M12" s="26" t="s">
        <v>870</v>
      </c>
      <c r="N12" s="26" t="s">
        <v>38</v>
      </c>
      <c r="O12" s="57" t="s">
        <v>227</v>
      </c>
      <c r="P12" s="26" t="s">
        <v>385</v>
      </c>
      <c r="Q12" s="26" t="s">
        <v>386</v>
      </c>
      <c r="R12" s="26" t="s">
        <v>387</v>
      </c>
      <c r="S12" s="26"/>
      <c r="T12" s="26"/>
      <c r="U12" s="26"/>
      <c r="V12" s="26"/>
      <c r="W12" s="26"/>
      <c r="X12" s="52"/>
      <c r="Y12" s="62" t="s">
        <v>207</v>
      </c>
      <c r="Z12" s="57" t="s">
        <v>377</v>
      </c>
      <c r="AA12" s="57" t="s">
        <v>154</v>
      </c>
      <c r="AB12" s="57" t="s">
        <v>155</v>
      </c>
      <c r="AC12" s="26"/>
      <c r="AD12" s="26"/>
      <c r="AE12" s="26"/>
      <c r="AF12" s="52"/>
      <c r="AG12" s="49"/>
      <c r="AH12" s="26"/>
      <c r="AI12" s="26"/>
      <c r="AJ12" s="27"/>
      <c r="AK12" s="25"/>
      <c r="AL12" s="26"/>
      <c r="AM12" s="26"/>
      <c r="AN12" s="52"/>
      <c r="AO12" s="59"/>
      <c r="AP12" s="59"/>
      <c r="AQ12" s="59"/>
      <c r="AR12" s="64"/>
      <c r="AS12" s="49" t="s">
        <v>885</v>
      </c>
      <c r="AT12" s="27"/>
      <c r="AU12" s="49" t="s">
        <v>814</v>
      </c>
      <c r="AV12" s="27"/>
      <c r="AW12" s="49" t="s">
        <v>822</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504</v>
      </c>
      <c r="BW12" s="159" t="s">
        <v>388</v>
      </c>
      <c r="BX12" s="159" t="s">
        <v>389</v>
      </c>
      <c r="BY12" s="160" t="s">
        <v>896</v>
      </c>
      <c r="BZ12" s="159"/>
      <c r="CA12" s="159" t="s">
        <v>293</v>
      </c>
      <c r="CB12" s="159" t="s">
        <v>288</v>
      </c>
      <c r="CC12" s="159" t="s">
        <v>289</v>
      </c>
      <c r="CD12" s="159" t="s">
        <v>290</v>
      </c>
      <c r="CE12" s="160"/>
      <c r="CF12" s="160"/>
      <c r="CG12" s="160"/>
      <c r="CH12" s="160"/>
      <c r="CI12" s="160" t="s">
        <v>487</v>
      </c>
      <c r="CJ12" s="160" t="s">
        <v>301</v>
      </c>
      <c r="CK12" s="159" t="s">
        <v>497</v>
      </c>
      <c r="CL12" s="159" t="s">
        <v>499</v>
      </c>
      <c r="CM12" s="159" t="s">
        <v>501</v>
      </c>
      <c r="CN12" s="292" t="s">
        <v>335</v>
      </c>
      <c r="CO12" s="160">
        <v>2880</v>
      </c>
      <c r="CP12" s="292" t="s">
        <v>310</v>
      </c>
      <c r="CQ12" s="292" t="s">
        <v>862</v>
      </c>
      <c r="CR12" s="292"/>
      <c r="CS12" s="160"/>
      <c r="CT12" s="159"/>
      <c r="CU12" s="159"/>
      <c r="CV12" s="159" t="s">
        <v>508</v>
      </c>
      <c r="CW12" s="159" t="s">
        <v>339</v>
      </c>
      <c r="CX12" s="159" t="s">
        <v>346</v>
      </c>
      <c r="CY12" s="159" t="s">
        <v>443</v>
      </c>
      <c r="CZ12" s="159" t="s">
        <v>444</v>
      </c>
      <c r="DA12" s="159" t="s">
        <v>445</v>
      </c>
      <c r="DB12" s="320" t="s">
        <v>886</v>
      </c>
      <c r="DC12" s="320" t="s">
        <v>887</v>
      </c>
      <c r="DD12" s="159"/>
      <c r="DE12" s="159" t="s">
        <v>247</v>
      </c>
      <c r="DF12" s="159"/>
      <c r="DG12" s="159" t="s">
        <v>449</v>
      </c>
      <c r="DH12" s="159" t="s">
        <v>505</v>
      </c>
      <c r="DI12" s="159" t="s">
        <v>506</v>
      </c>
      <c r="DJ12" s="159" t="s">
        <v>507</v>
      </c>
      <c r="DK12" s="159"/>
      <c r="DL12" s="159"/>
      <c r="DM12" s="292"/>
      <c r="DN12" s="292"/>
      <c r="DO12" s="292"/>
      <c r="DP12" s="292"/>
      <c r="DQ12" s="292"/>
      <c r="DR12" s="292"/>
      <c r="DS12" s="292"/>
      <c r="DT12" s="292"/>
      <c r="DU12" s="292" t="s">
        <v>681</v>
      </c>
      <c r="DV12" s="292" t="s">
        <v>676</v>
      </c>
      <c r="DW12" s="292" t="s">
        <v>677</v>
      </c>
      <c r="DX12" s="292" t="s">
        <v>678</v>
      </c>
      <c r="DY12" s="292" t="s">
        <v>679</v>
      </c>
      <c r="DZ12" s="292"/>
      <c r="EA12" s="292"/>
      <c r="EB12" s="292"/>
      <c r="EC12" s="292"/>
      <c r="ED12" s="292"/>
      <c r="EE12" s="292"/>
      <c r="EF12" s="292"/>
      <c r="EG12" s="292"/>
      <c r="EH12" s="292"/>
      <c r="EI12" s="292"/>
      <c r="EJ12" s="292"/>
      <c r="EK12" s="292"/>
      <c r="EL12" s="292" t="s">
        <v>801</v>
      </c>
      <c r="EM12" s="292" t="s">
        <v>802</v>
      </c>
      <c r="EN12" s="159" t="s">
        <v>800</v>
      </c>
      <c r="EO12" s="992" t="s">
        <v>894</v>
      </c>
      <c r="EP12" s="992" t="s">
        <v>899</v>
      </c>
      <c r="EQ12" s="992" t="s">
        <v>901</v>
      </c>
      <c r="ER12" s="1003">
        <v>680</v>
      </c>
      <c r="ES12" s="1002"/>
      <c r="ET12" s="1145"/>
      <c r="EU12" s="1145"/>
      <c r="EV12" s="159" t="s">
        <v>841</v>
      </c>
      <c r="EW12" s="292"/>
      <c r="EX12" s="292"/>
      <c r="EY12" s="292"/>
    </row>
    <row r="13" spans="1:155" ht="14.25" customHeight="1" thickBot="1">
      <c r="A13" s="74" t="s">
        <v>0</v>
      </c>
      <c r="B13" s="75" t="s">
        <v>406</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406</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25" t="s">
        <v>520</v>
      </c>
      <c r="J15" s="26" t="s">
        <v>780</v>
      </c>
      <c r="K15" s="26" t="s">
        <v>788</v>
      </c>
      <c r="L15" s="26" t="s">
        <v>793</v>
      </c>
      <c r="M15" s="26" t="s">
        <v>519</v>
      </c>
      <c r="N15" s="26" t="s">
        <v>327</v>
      </c>
      <c r="O15" s="57" t="s">
        <v>328</v>
      </c>
      <c r="P15" s="26" t="s">
        <v>477</v>
      </c>
      <c r="Q15" s="26" t="s">
        <v>478</v>
      </c>
      <c r="R15" s="26" t="s">
        <v>479</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745</v>
      </c>
      <c r="AT15" s="27" t="s">
        <v>739</v>
      </c>
      <c r="AU15" s="49" t="s">
        <v>529</v>
      </c>
      <c r="AV15" s="27" t="s">
        <v>740</v>
      </c>
      <c r="AW15" s="49" t="s">
        <v>530</v>
      </c>
      <c r="AX15" s="27" t="s">
        <v>741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384</v>
      </c>
      <c r="BW15" s="158" t="s">
        <v>308</v>
      </c>
      <c r="BX15" s="158" t="s">
        <v>309</v>
      </c>
      <c r="BY15" s="217" t="s">
        <v>768</v>
      </c>
      <c r="BZ15" s="217" t="s">
        <v>852</v>
      </c>
      <c r="CA15" s="158"/>
      <c r="CB15" s="158"/>
      <c r="CC15" s="158"/>
      <c r="CD15" s="158"/>
      <c r="CE15" s="158"/>
      <c r="CF15" s="158"/>
      <c r="CG15" s="158"/>
      <c r="CH15" s="158"/>
      <c r="CI15" s="158" t="s">
        <v>493</v>
      </c>
      <c r="CJ15" s="158" t="s">
        <v>401</v>
      </c>
      <c r="CK15" s="158" t="s">
        <v>466</v>
      </c>
      <c r="CL15" s="158" t="s">
        <v>467</v>
      </c>
      <c r="CM15" s="158" t="s">
        <v>468</v>
      </c>
      <c r="CN15" s="158">
        <v>1262</v>
      </c>
      <c r="CO15" s="158">
        <v>6600</v>
      </c>
      <c r="CP15" s="158">
        <v>1262</v>
      </c>
      <c r="CQ15" s="217" t="s">
        <v>521</v>
      </c>
      <c r="CR15" s="217" t="s">
        <v>853</v>
      </c>
      <c r="CS15" s="158" t="s">
        <v>393</v>
      </c>
      <c r="CT15" s="159"/>
      <c r="CU15" s="159"/>
      <c r="CV15" s="159" t="s">
        <v>378</v>
      </c>
      <c r="CW15" s="159" t="s">
        <v>340</v>
      </c>
      <c r="CX15" s="159" t="s">
        <v>161</v>
      </c>
      <c r="CY15" s="159"/>
      <c r="CZ15" s="159"/>
      <c r="DA15" s="159"/>
      <c r="DB15" s="150" t="s">
        <v>781</v>
      </c>
      <c r="DC15" s="150" t="s">
        <v>782</v>
      </c>
      <c r="DD15" s="159"/>
      <c r="DE15" s="159" t="s">
        <v>527</v>
      </c>
      <c r="DF15" s="159" t="s">
        <v>414</v>
      </c>
      <c r="DG15" s="159"/>
      <c r="DH15" s="158" t="s">
        <v>431</v>
      </c>
      <c r="DI15" s="158" t="s">
        <v>432</v>
      </c>
      <c r="DJ15" s="158" t="s">
        <v>433</v>
      </c>
      <c r="DK15" s="158"/>
      <c r="DL15" s="158"/>
      <c r="DM15" s="158"/>
      <c r="DN15" s="158"/>
      <c r="DO15" s="158"/>
      <c r="DP15" s="158"/>
      <c r="DQ15" s="158"/>
      <c r="DR15" s="158"/>
      <c r="DS15" s="158"/>
      <c r="DT15" s="158"/>
      <c r="DU15" s="158" t="s">
        <v>613</v>
      </c>
      <c r="DV15" s="158"/>
      <c r="DW15" s="158"/>
      <c r="DX15" s="158"/>
      <c r="DY15" s="158"/>
      <c r="DZ15" s="158"/>
      <c r="EA15" s="158"/>
      <c r="EB15" s="158" t="s">
        <v>744</v>
      </c>
      <c r="EC15" s="158" t="s">
        <v>621</v>
      </c>
      <c r="ED15" s="158"/>
      <c r="EE15" s="158">
        <v>6000</v>
      </c>
      <c r="EF15" s="158">
        <v>650</v>
      </c>
      <c r="EG15" s="158"/>
      <c r="EH15" s="158"/>
      <c r="EI15" s="158" t="s">
        <v>622</v>
      </c>
      <c r="EJ15" s="158"/>
      <c r="EK15" s="158"/>
      <c r="EL15" s="158"/>
      <c r="EM15" s="158"/>
      <c r="EN15" s="158"/>
      <c r="EO15" s="991" t="s">
        <v>811</v>
      </c>
      <c r="EP15" s="991" t="s">
        <v>815</v>
      </c>
      <c r="EQ15" s="991" t="s">
        <v>823</v>
      </c>
      <c r="ER15" s="1006" t="s">
        <v>771</v>
      </c>
      <c r="ES15" s="1001"/>
      <c r="ET15" s="1145"/>
      <c r="EU15" s="1145"/>
      <c r="EV15" s="159" t="s">
        <v>840</v>
      </c>
      <c r="EW15" s="158"/>
      <c r="EX15" s="158"/>
      <c r="EY15" s="158"/>
    </row>
    <row r="16" spans="1:155" ht="14.25" customHeight="1">
      <c r="A16" s="7" t="s">
        <v>408</v>
      </c>
      <c r="B16" s="21" t="s">
        <v>406</v>
      </c>
      <c r="C16" s="22" t="s">
        <v>3</v>
      </c>
      <c r="D16" s="23" t="s">
        <v>20</v>
      </c>
      <c r="E16" s="21" t="s">
        <v>20</v>
      </c>
      <c r="F16" s="21">
        <v>31</v>
      </c>
      <c r="G16" s="6"/>
      <c r="H16" s="24"/>
      <c r="I16" s="25" t="s">
        <v>520</v>
      </c>
      <c r="J16" s="26" t="s">
        <v>783</v>
      </c>
      <c r="K16" s="26" t="s">
        <v>789</v>
      </c>
      <c r="L16" s="26" t="s">
        <v>794</v>
      </c>
      <c r="M16" s="26" t="s">
        <v>519</v>
      </c>
      <c r="N16" s="26" t="s">
        <v>150</v>
      </c>
      <c r="O16" s="57" t="s">
        <v>228</v>
      </c>
      <c r="P16" s="26" t="s">
        <v>477</v>
      </c>
      <c r="Q16" s="26" t="s">
        <v>478</v>
      </c>
      <c r="R16" s="26" t="s">
        <v>479</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784</v>
      </c>
      <c r="AT16" s="27"/>
      <c r="AU16" s="49" t="s">
        <v>790</v>
      </c>
      <c r="AV16" s="27"/>
      <c r="AW16" s="49" t="s">
        <v>795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384</v>
      </c>
      <c r="BW16" s="158" t="s">
        <v>382</v>
      </c>
      <c r="BX16" s="158" t="s">
        <v>383</v>
      </c>
      <c r="BY16" s="176" t="s">
        <v>532</v>
      </c>
      <c r="BZ16" s="160"/>
      <c r="CA16" s="160"/>
      <c r="CB16" s="160"/>
      <c r="CC16" s="160"/>
      <c r="CD16" s="160"/>
      <c r="CE16" s="160"/>
      <c r="CF16" s="160"/>
      <c r="CG16" s="160"/>
      <c r="CH16" s="160"/>
      <c r="CI16" s="160" t="s">
        <v>493</v>
      </c>
      <c r="CJ16" s="160" t="s">
        <v>401</v>
      </c>
      <c r="CK16" s="158" t="s">
        <v>466</v>
      </c>
      <c r="CL16" s="158" t="s">
        <v>467</v>
      </c>
      <c r="CM16" s="158" t="s">
        <v>468</v>
      </c>
      <c r="CN16" s="292" t="s">
        <v>335</v>
      </c>
      <c r="CO16" s="160">
        <v>2880</v>
      </c>
      <c r="CP16" s="217" t="s">
        <v>311</v>
      </c>
      <c r="CQ16" s="217" t="s">
        <v>521</v>
      </c>
      <c r="CR16" s="217"/>
      <c r="CS16" s="158" t="s">
        <v>393</v>
      </c>
      <c r="CT16" s="159"/>
      <c r="CU16" s="159"/>
      <c r="CV16" s="159" t="s">
        <v>378</v>
      </c>
      <c r="CW16" s="159" t="s">
        <v>340</v>
      </c>
      <c r="CX16" s="159" t="s">
        <v>161</v>
      </c>
      <c r="CY16" s="159"/>
      <c r="CZ16" s="159"/>
      <c r="DA16" s="159"/>
      <c r="DB16" s="150" t="s">
        <v>785</v>
      </c>
      <c r="DC16" s="150" t="s">
        <v>786</v>
      </c>
      <c r="DD16" s="159"/>
      <c r="DE16" s="159" t="s">
        <v>527</v>
      </c>
      <c r="DF16" s="159" t="s">
        <v>414</v>
      </c>
      <c r="DG16" s="159"/>
      <c r="DH16" s="158" t="s">
        <v>431</v>
      </c>
      <c r="DI16" s="158" t="s">
        <v>432</v>
      </c>
      <c r="DJ16" s="158" t="s">
        <v>433</v>
      </c>
      <c r="DK16" s="158"/>
      <c r="DL16" s="158"/>
      <c r="DM16" s="158"/>
      <c r="DN16" s="158"/>
      <c r="DO16" s="158"/>
      <c r="DP16" s="158"/>
      <c r="DQ16" s="158"/>
      <c r="DR16" s="158"/>
      <c r="DS16" s="158"/>
      <c r="DT16" s="158"/>
      <c r="DU16" s="158" t="s">
        <v>613</v>
      </c>
      <c r="DV16" s="158"/>
      <c r="DW16" s="158"/>
      <c r="DX16" s="158"/>
      <c r="DY16" s="158"/>
      <c r="DZ16" s="158"/>
      <c r="EA16" s="158"/>
      <c r="EB16" s="158"/>
      <c r="EC16" s="158"/>
      <c r="ED16" s="158"/>
      <c r="EE16" s="158"/>
      <c r="EF16" s="158"/>
      <c r="EG16" s="158"/>
      <c r="EH16" s="158"/>
      <c r="EI16" s="158" t="s">
        <v>622</v>
      </c>
      <c r="EJ16" s="158"/>
      <c r="EK16" s="158"/>
      <c r="EL16" s="158"/>
      <c r="EM16" s="158"/>
      <c r="EN16" s="158"/>
      <c r="EO16" s="991" t="s">
        <v>787</v>
      </c>
      <c r="EP16" s="991" t="s">
        <v>791</v>
      </c>
      <c r="EQ16" s="991" t="s">
        <v>796</v>
      </c>
      <c r="ER16" s="1005">
        <v>1000</v>
      </c>
      <c r="ES16" s="1001"/>
      <c r="ET16" s="1145"/>
      <c r="EU16" s="1145"/>
      <c r="EV16" s="159" t="s">
        <v>840</v>
      </c>
      <c r="EW16" s="158"/>
      <c r="EX16" s="158"/>
      <c r="EY16" s="158"/>
    </row>
    <row r="17" spans="1:155" ht="14.25" customHeight="1">
      <c r="A17" s="7" t="s">
        <v>143</v>
      </c>
      <c r="B17" s="21" t="s">
        <v>406</v>
      </c>
      <c r="C17" s="22" t="s">
        <v>3</v>
      </c>
      <c r="D17" s="23" t="s">
        <v>82</v>
      </c>
      <c r="E17" s="21" t="s">
        <v>82</v>
      </c>
      <c r="F17" s="21" t="s">
        <v>138</v>
      </c>
      <c r="G17" s="6"/>
      <c r="H17" s="24"/>
      <c r="I17" s="25" t="s">
        <v>144</v>
      </c>
      <c r="J17" s="26" t="s">
        <v>834</v>
      </c>
      <c r="K17" s="26" t="s">
        <v>146</v>
      </c>
      <c r="L17" s="26" t="s">
        <v>792</v>
      </c>
      <c r="M17" s="26" t="s">
        <v>518</v>
      </c>
      <c r="N17" s="26" t="s">
        <v>151</v>
      </c>
      <c r="O17" s="26" t="s">
        <v>229</v>
      </c>
      <c r="P17" s="26" t="s">
        <v>471</v>
      </c>
      <c r="Q17" s="26" t="s">
        <v>472</v>
      </c>
      <c r="R17" s="26" t="s">
        <v>473</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533</v>
      </c>
      <c r="AT17" s="472" t="s">
        <v>330</v>
      </c>
      <c r="AU17" s="151" t="s">
        <v>331</v>
      </c>
      <c r="AV17" s="472" t="s">
        <v>332</v>
      </c>
      <c r="AW17" s="151" t="s">
        <v>333</v>
      </c>
      <c r="AX17" s="472" t="s">
        <v>334</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312</v>
      </c>
      <c r="BW17" s="157" t="s">
        <v>314</v>
      </c>
      <c r="BX17" s="157" t="s">
        <v>315</v>
      </c>
      <c r="BY17" s="176" t="s">
        <v>733</v>
      </c>
      <c r="BZ17" s="177" t="s">
        <v>743</v>
      </c>
      <c r="CA17" s="157"/>
      <c r="CB17" s="157"/>
      <c r="CC17" s="157"/>
      <c r="CD17" s="157"/>
      <c r="CE17" s="157"/>
      <c r="CF17" s="157"/>
      <c r="CG17" s="157"/>
      <c r="CH17" s="157"/>
      <c r="CI17" s="157" t="s">
        <v>511</v>
      </c>
      <c r="CJ17" s="157" t="s">
        <v>302</v>
      </c>
      <c r="CK17" s="157" t="s">
        <v>469</v>
      </c>
      <c r="CL17" s="157" t="s">
        <v>470</v>
      </c>
      <c r="CM17" s="157" t="s">
        <v>470</v>
      </c>
      <c r="CN17" s="157">
        <v>1175</v>
      </c>
      <c r="CO17" s="157">
        <v>1800</v>
      </c>
      <c r="CP17" s="292" t="s">
        <v>421</v>
      </c>
      <c r="CQ17" s="157" t="s">
        <v>742</v>
      </c>
      <c r="CR17" s="157"/>
      <c r="CS17" s="157" t="s">
        <v>626</v>
      </c>
      <c r="CT17" s="159"/>
      <c r="CU17" s="159"/>
      <c r="CV17" s="159" t="s">
        <v>317</v>
      </c>
      <c r="CW17" s="159" t="s">
        <v>341</v>
      </c>
      <c r="CX17" s="159" t="s">
        <v>344</v>
      </c>
      <c r="CY17" s="159"/>
      <c r="CZ17" s="159"/>
      <c r="DA17" s="159"/>
      <c r="DB17" s="323" t="s">
        <v>779</v>
      </c>
      <c r="DC17" s="329"/>
      <c r="DD17" s="159"/>
      <c r="DE17" s="330" t="s">
        <v>526</v>
      </c>
      <c r="DF17" s="330" t="s">
        <v>145</v>
      </c>
      <c r="DG17" s="159"/>
      <c r="DH17" s="157" t="s">
        <v>439</v>
      </c>
      <c r="DI17" s="157" t="s">
        <v>437</v>
      </c>
      <c r="DJ17" s="157" t="s">
        <v>438</v>
      </c>
      <c r="DK17" s="157"/>
      <c r="DL17" s="157"/>
      <c r="DM17" s="158"/>
      <c r="DN17" s="158"/>
      <c r="DO17" s="158"/>
      <c r="DP17" s="158"/>
      <c r="DQ17" s="158"/>
      <c r="DR17" s="158"/>
      <c r="DS17" s="158"/>
      <c r="DT17" s="158"/>
      <c r="DU17" s="158" t="s">
        <v>614</v>
      </c>
      <c r="DV17" s="158"/>
      <c r="DW17" s="158"/>
      <c r="DX17" s="158"/>
      <c r="DY17" s="158"/>
      <c r="DZ17" s="158"/>
      <c r="EA17" s="158"/>
      <c r="EB17" s="158" t="s">
        <v>620</v>
      </c>
      <c r="EC17" s="158" t="s">
        <v>623</v>
      </c>
      <c r="ED17" s="158"/>
      <c r="EE17" s="158">
        <v>1200</v>
      </c>
      <c r="EF17" s="158">
        <v>600</v>
      </c>
      <c r="EG17" s="158"/>
      <c r="EH17" s="158"/>
      <c r="EI17" s="158" t="s">
        <v>625</v>
      </c>
      <c r="EJ17" s="158"/>
      <c r="EK17" s="158"/>
      <c r="EL17" s="158"/>
      <c r="EM17" s="158"/>
      <c r="EN17" s="158"/>
      <c r="EO17" s="323" t="s">
        <v>779</v>
      </c>
      <c r="EP17" s="323" t="s">
        <v>146</v>
      </c>
      <c r="EQ17" s="323" t="s">
        <v>792</v>
      </c>
      <c r="ER17" s="1004">
        <v>1600</v>
      </c>
      <c r="ES17" s="342"/>
      <c r="ET17" s="1145"/>
      <c r="EU17" s="1145"/>
      <c r="EV17" s="159" t="s">
        <v>843</v>
      </c>
      <c r="EW17" s="158"/>
      <c r="EX17" s="158"/>
      <c r="EY17" s="158"/>
    </row>
    <row r="18" spans="1:155" ht="14.25" customHeight="1" thickBot="1">
      <c r="A18" s="74" t="s">
        <v>0</v>
      </c>
      <c r="B18" s="75" t="s">
        <v>406</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FDXxHzWfxDvGXLRn5tYKuAtxBq9tSRlQKzzZBxxNvch7ZVlwrP0EXLWxGcagmlYHAlS1r/vhfRQB2I1hbL2j+g==" saltValue="fDlk49/Khje4Stxi9bV9xg=="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6:EA17 DM15:DZ15 BH12:BI12 BJ11:BJ12 BV11:BX11 CA11:CD11 CS12 AO10 AQ10 AO12:AR12 Y10:AB10 S9:X12 AC10:AN12 BK12:CJ12 AC9:AX9 CT11:DF12 CK11:CR12 BJ15:BJ17 AQ17 AO15:AR15 S15:AN17 BT16:BX16 CK15:CL16 BK15:CJ15 BK17:BX17 BZ17:CL17 DH15:DL17 EB15:EG17 EH15:EI15 EH16:EK17 CM15:DF17 BJ10:DF10 EO9 EO10:EQ12 EO15:EQ17 ES10:ES12 EV9:EV12 EV15:EV17 BJ9:DL9 DF10:EM12 EN10:EN11 EW10:EY12">
    <cfRule type="cellIs" dxfId="778" priority="2170" stopIfTrue="1" operator="equal">
      <formula>$A$31</formula>
    </cfRule>
  </conditionalFormatting>
  <conditionalFormatting sqref="BD14:BG14 I8:DF8 DF1 I18:BC18 DH8:DJ8 BH13:EA14 BH18:EK18 I13:BC14 I19:EN19 EO8:EQ8 EO13:EQ14 EO18:EQ19 EV14 EV18:EW18 EW19:EY19">
    <cfRule type="cellIs" dxfId="777" priority="2171" stopIfTrue="1" operator="equal">
      <formula>$A$31</formula>
    </cfRule>
  </conditionalFormatting>
  <conditionalFormatting sqref="BY11:BZ11 CE11:CJ11 CO11 AR10 AP10 Y11:AB12 I9:R9 BK11:BU11 CS11:DF11 AO11:AR11 I11:R12 BH16:BI17 CO16 AP17 AR17 AP16:AR16 AO16:AO17 BK16:CJ16 CS16:DE16 I15:R17 Y9:AB9 EO11:EQ11 EO16:EQ16 EV16 BH10:BI11">
    <cfRule type="cellIs" dxfId="776" priority="2172" stopIfTrue="1" operator="equal">
      <formula>$A$30</formula>
    </cfRule>
  </conditionalFormatting>
  <conditionalFormatting sqref="DF1">
    <cfRule type="cellIs" dxfId="775" priority="1988" stopIfTrue="1" operator="equal">
      <formula>$A$31</formula>
    </cfRule>
  </conditionalFormatting>
  <conditionalFormatting sqref="DF1">
    <cfRule type="cellIs" dxfId="774" priority="1987" stopIfTrue="1" operator="equal">
      <formula>$A$31</formula>
    </cfRule>
  </conditionalFormatting>
  <conditionalFormatting sqref="DF18">
    <cfRule type="cellIs" dxfId="773" priority="1985" stopIfTrue="1" operator="equal">
      <formula>$A$31</formula>
    </cfRule>
  </conditionalFormatting>
  <conditionalFormatting sqref="DF13:DF14">
    <cfRule type="cellIs" dxfId="772" priority="1972" stopIfTrue="1" operator="equal">
      <formula>$A$31</formula>
    </cfRule>
  </conditionalFormatting>
  <conditionalFormatting sqref="DF13:DF14">
    <cfRule type="cellIs" dxfId="771" priority="1969" stopIfTrue="1" operator="equal">
      <formula>$A$31</formula>
    </cfRule>
  </conditionalFormatting>
  <conditionalFormatting sqref="AS13:AS14">
    <cfRule type="cellIs" dxfId="770" priority="1954" stopIfTrue="1" operator="equal">
      <formula>$A$31</formula>
    </cfRule>
  </conditionalFormatting>
  <conditionalFormatting sqref="AS13:AS14">
    <cfRule type="cellIs" dxfId="769" priority="1951" stopIfTrue="1" operator="equal">
      <formula>$A$31</formula>
    </cfRule>
  </conditionalFormatting>
  <conditionalFormatting sqref="AU13:AU14">
    <cfRule type="cellIs" dxfId="768" priority="1868" stopIfTrue="1" operator="equal">
      <formula>$A$31</formula>
    </cfRule>
  </conditionalFormatting>
  <conditionalFormatting sqref="AU13:AU14">
    <cfRule type="cellIs" dxfId="767" priority="1865" stopIfTrue="1" operator="equal">
      <formula>$A$31</formula>
    </cfRule>
  </conditionalFormatting>
  <conditionalFormatting sqref="DG8">
    <cfRule type="cellIs" dxfId="766" priority="843" stopIfTrue="1" operator="equal">
      <formula>$A$31</formula>
    </cfRule>
  </conditionalFormatting>
  <conditionalFormatting sqref="DK8">
    <cfRule type="cellIs" dxfId="765" priority="838" stopIfTrue="1" operator="equal">
      <formula>$A$31</formula>
    </cfRule>
  </conditionalFormatting>
  <conditionalFormatting sqref="DL8">
    <cfRule type="cellIs" dxfId="764" priority="834" stopIfTrue="1" operator="equal">
      <formula>$A$31</formula>
    </cfRule>
  </conditionalFormatting>
  <conditionalFormatting sqref="DM8:DX8">
    <cfRule type="cellIs" dxfId="763" priority="816" stopIfTrue="1" operator="equal">
      <formula>$A$31</formula>
    </cfRule>
  </conditionalFormatting>
  <conditionalFormatting sqref="DM9:DU9">
    <cfRule type="cellIs" dxfId="762" priority="814" stopIfTrue="1" operator="equal">
      <formula>$A$31</formula>
    </cfRule>
  </conditionalFormatting>
  <conditionalFormatting sqref="DV9">
    <cfRule type="cellIs" dxfId="761" priority="799" stopIfTrue="1" operator="equal">
      <formula>$A$31</formula>
    </cfRule>
  </conditionalFormatting>
  <conditionalFormatting sqref="DW9">
    <cfRule type="cellIs" dxfId="760" priority="793" stopIfTrue="1" operator="equal">
      <formula>$A$31</formula>
    </cfRule>
  </conditionalFormatting>
  <conditionalFormatting sqref="DX9">
    <cfRule type="cellIs" dxfId="759" priority="787" stopIfTrue="1" operator="equal">
      <formula>$A$31</formula>
    </cfRule>
  </conditionalFormatting>
  <conditionalFormatting sqref="DY8:EJ8">
    <cfRule type="cellIs" dxfId="758" priority="782" stopIfTrue="1" operator="equal">
      <formula>$A$31</formula>
    </cfRule>
  </conditionalFormatting>
  <conditionalFormatting sqref="DY9">
    <cfRule type="cellIs" dxfId="757" priority="780" stopIfTrue="1" operator="equal">
      <formula>$A$31</formula>
    </cfRule>
  </conditionalFormatting>
  <conditionalFormatting sqref="DZ9">
    <cfRule type="cellIs" dxfId="756" priority="774" stopIfTrue="1" operator="equal">
      <formula>$A$31</formula>
    </cfRule>
  </conditionalFormatting>
  <conditionalFormatting sqref="EA9">
    <cfRule type="cellIs" dxfId="755" priority="768" stopIfTrue="1" operator="equal">
      <formula>$A$31</formula>
    </cfRule>
  </conditionalFormatting>
  <conditionalFormatting sqref="AS10:AX12">
    <cfRule type="cellIs" dxfId="754" priority="756" stopIfTrue="1" operator="equal">
      <formula>$A$29</formula>
    </cfRule>
  </conditionalFormatting>
  <conditionalFormatting sqref="BH9:BI9">
    <cfRule type="cellIs" dxfId="753" priority="727" stopIfTrue="1" operator="equal">
      <formula>$A$31</formula>
    </cfRule>
  </conditionalFormatting>
  <conditionalFormatting sqref="M10:R10">
    <cfRule type="cellIs" dxfId="752" priority="729" stopIfTrue="1" operator="equal">
      <formula>$B$30</formula>
    </cfRule>
  </conditionalFormatting>
  <conditionalFormatting sqref="AS9:AX9">
    <cfRule type="cellIs" dxfId="751" priority="714" stopIfTrue="1" operator="equal">
      <formula>$A$31</formula>
    </cfRule>
  </conditionalFormatting>
  <conditionalFormatting sqref="AU9">
    <cfRule type="cellIs" dxfId="750" priority="713" stopIfTrue="1" operator="equal">
      <formula>$A$31</formula>
    </cfRule>
  </conditionalFormatting>
  <conditionalFormatting sqref="AU9">
    <cfRule type="cellIs" dxfId="749" priority="712" stopIfTrue="1" operator="equal">
      <formula>$A$31</formula>
    </cfRule>
  </conditionalFormatting>
  <conditionalFormatting sqref="AW9">
    <cfRule type="cellIs" dxfId="748" priority="711" stopIfTrue="1" operator="equal">
      <formula>$A$31</formula>
    </cfRule>
  </conditionalFormatting>
  <conditionalFormatting sqref="AW9">
    <cfRule type="cellIs" dxfId="747" priority="710" stopIfTrue="1" operator="equal">
      <formula>$A$31</formula>
    </cfRule>
  </conditionalFormatting>
  <conditionalFormatting sqref="AW9">
    <cfRule type="cellIs" dxfId="746" priority="709" stopIfTrue="1" operator="equal">
      <formula>$A$31</formula>
    </cfRule>
  </conditionalFormatting>
  <conditionalFormatting sqref="AW9">
    <cfRule type="cellIs" dxfId="745" priority="708" stopIfTrue="1" operator="equal">
      <formula>$A$31</formula>
    </cfRule>
  </conditionalFormatting>
  <conditionalFormatting sqref="AW9">
    <cfRule type="cellIs" dxfId="744" priority="707" stopIfTrue="1" operator="equal">
      <formula>$A$31</formula>
    </cfRule>
  </conditionalFormatting>
  <conditionalFormatting sqref="AW9">
    <cfRule type="cellIs" dxfId="743" priority="706" stopIfTrue="1" operator="equal">
      <formula>$A$31</formula>
    </cfRule>
  </conditionalFormatting>
  <conditionalFormatting sqref="AW9">
    <cfRule type="cellIs" dxfId="742" priority="705" stopIfTrue="1" operator="equal">
      <formula>$A$31</formula>
    </cfRule>
  </conditionalFormatting>
  <conditionalFormatting sqref="AW9">
    <cfRule type="cellIs" dxfId="741" priority="704" stopIfTrue="1" operator="equal">
      <formula>$A$31</formula>
    </cfRule>
  </conditionalFormatting>
  <conditionalFormatting sqref="AW9">
    <cfRule type="cellIs" dxfId="740" priority="703" stopIfTrue="1" operator="equal">
      <formula>$A$31</formula>
    </cfRule>
  </conditionalFormatting>
  <conditionalFormatting sqref="AW9">
    <cfRule type="cellIs" dxfId="739" priority="702" stopIfTrue="1" operator="equal">
      <formula>$A$31</formula>
    </cfRule>
  </conditionalFormatting>
  <conditionalFormatting sqref="AW9">
    <cfRule type="cellIs" dxfId="738" priority="701" stopIfTrue="1" operator="equal">
      <formula>$A$31</formula>
    </cfRule>
  </conditionalFormatting>
  <conditionalFormatting sqref="AW9">
    <cfRule type="cellIs" dxfId="737" priority="700" stopIfTrue="1" operator="equal">
      <formula>$A$31</formula>
    </cfRule>
  </conditionalFormatting>
  <conditionalFormatting sqref="AW9">
    <cfRule type="cellIs" dxfId="736" priority="699" stopIfTrue="1" operator="equal">
      <formula>$A$31</formula>
    </cfRule>
  </conditionalFormatting>
  <conditionalFormatting sqref="AW9">
    <cfRule type="cellIs" dxfId="735" priority="698" stopIfTrue="1" operator="equal">
      <formula>$A$31</formula>
    </cfRule>
  </conditionalFormatting>
  <conditionalFormatting sqref="DG11">
    <cfRule type="cellIs" dxfId="734" priority="696" stopIfTrue="1" operator="equal">
      <formula>$A$30</formula>
    </cfRule>
  </conditionalFormatting>
  <conditionalFormatting sqref="I10:L10">
    <cfRule type="cellIs" dxfId="733" priority="691" stopIfTrue="1" operator="equal">
      <formula>$B$30</formula>
    </cfRule>
  </conditionalFormatting>
  <conditionalFormatting sqref="BH15:BI15">
    <cfRule type="cellIs" dxfId="732" priority="689" stopIfTrue="1" operator="equal">
      <formula>$A$31</formula>
    </cfRule>
  </conditionalFormatting>
  <conditionalFormatting sqref="DB16:DE16">
    <cfRule type="cellIs" dxfId="731" priority="686" stopIfTrue="1" operator="equal">
      <formula>$A$30</formula>
    </cfRule>
  </conditionalFormatting>
  <conditionalFormatting sqref="DB15">
    <cfRule type="cellIs" dxfId="730" priority="685" stopIfTrue="1" operator="equal">
      <formula>$A$30</formula>
    </cfRule>
  </conditionalFormatting>
  <conditionalFormatting sqref="DE17">
    <cfRule type="cellIs" dxfId="729" priority="684" stopIfTrue="1" operator="equal">
      <formula>$A$30</formula>
    </cfRule>
  </conditionalFormatting>
  <conditionalFormatting sqref="DF16">
    <cfRule type="cellIs" dxfId="728" priority="680" stopIfTrue="1" operator="equal">
      <formula>$A$30</formula>
    </cfRule>
  </conditionalFormatting>
  <conditionalFormatting sqref="DF16">
    <cfRule type="cellIs" dxfId="727" priority="679" stopIfTrue="1" operator="equal">
      <formula>$A$30</formula>
    </cfRule>
  </conditionalFormatting>
  <conditionalFormatting sqref="DF16">
    <cfRule type="cellIs" dxfId="726" priority="678" stopIfTrue="1" operator="equal">
      <formula>$A$30</formula>
    </cfRule>
  </conditionalFormatting>
  <conditionalFormatting sqref="DF17">
    <cfRule type="cellIs" dxfId="725" priority="677" stopIfTrue="1" operator="equal">
      <formula>$A$30</formula>
    </cfRule>
  </conditionalFormatting>
  <conditionalFormatting sqref="DF16">
    <cfRule type="cellIs" dxfId="724" priority="673" stopIfTrue="1" operator="equal">
      <formula>$A$30</formula>
    </cfRule>
  </conditionalFormatting>
  <conditionalFormatting sqref="DF16">
    <cfRule type="cellIs" dxfId="723" priority="672" stopIfTrue="1" operator="equal">
      <formula>$A$30</formula>
    </cfRule>
  </conditionalFormatting>
  <conditionalFormatting sqref="DF17">
    <cfRule type="cellIs" dxfId="722" priority="671" stopIfTrue="1" operator="equal">
      <formula>$A$30</formula>
    </cfRule>
  </conditionalFormatting>
  <conditionalFormatting sqref="DC15">
    <cfRule type="cellIs" dxfId="721" priority="669" stopIfTrue="1" operator="equal">
      <formula>$A$30</formula>
    </cfRule>
  </conditionalFormatting>
  <conditionalFormatting sqref="DC16">
    <cfRule type="cellIs" dxfId="720" priority="668" stopIfTrue="1" operator="equal">
      <formula>$A$30</formula>
    </cfRule>
  </conditionalFormatting>
  <conditionalFormatting sqref="AS15:AX17">
    <cfRule type="cellIs" dxfId="719" priority="636" stopIfTrue="1" operator="equal">
      <formula>$A$29</formula>
    </cfRule>
  </conditionalFormatting>
  <conditionalFormatting sqref="DG15:DG17">
    <cfRule type="cellIs" dxfId="718" priority="634" stopIfTrue="1" operator="equal">
      <formula>$A$31</formula>
    </cfRule>
  </conditionalFormatting>
  <conditionalFormatting sqref="DG16">
    <cfRule type="cellIs" dxfId="717" priority="635" stopIfTrue="1" operator="equal">
      <formula>$A$30</formula>
    </cfRule>
  </conditionalFormatting>
  <conditionalFormatting sqref="BV15">
    <cfRule type="cellIs" dxfId="716" priority="626" stopIfTrue="1" operator="equal">
      <formula>$A$30</formula>
    </cfRule>
  </conditionalFormatting>
  <conditionalFormatting sqref="BY17">
    <cfRule type="cellIs" dxfId="715" priority="622" stopIfTrue="1" operator="equal">
      <formula>$A$30</formula>
    </cfRule>
  </conditionalFormatting>
  <conditionalFormatting sqref="EB13:EG14">
    <cfRule type="cellIs" dxfId="714" priority="569" stopIfTrue="1" operator="equal">
      <formula>$A$31</formula>
    </cfRule>
  </conditionalFormatting>
  <conditionalFormatting sqref="EB9:EG9">
    <cfRule type="cellIs" dxfId="713" priority="565" stopIfTrue="1" operator="equal">
      <formula>$A$31</formula>
    </cfRule>
  </conditionalFormatting>
  <conditionalFormatting sqref="EH13:EJ14">
    <cfRule type="cellIs" dxfId="712" priority="555" stopIfTrue="1" operator="equal">
      <formula>$A$31</formula>
    </cfRule>
  </conditionalFormatting>
  <conditionalFormatting sqref="EH9:EJ9">
    <cfRule type="cellIs" dxfId="711" priority="551" stopIfTrue="1" operator="equal">
      <formula>$A$31</formula>
    </cfRule>
  </conditionalFormatting>
  <conditionalFormatting sqref="EA15">
    <cfRule type="cellIs" dxfId="710" priority="541" stopIfTrue="1" operator="equal">
      <formula>$A$31</formula>
    </cfRule>
  </conditionalFormatting>
  <conditionalFormatting sqref="EJ15">
    <cfRule type="cellIs" dxfId="709" priority="540" stopIfTrue="1" operator="equal">
      <formula>$A$31</formula>
    </cfRule>
  </conditionalFormatting>
  <conditionalFormatting sqref="EK8">
    <cfRule type="cellIs" dxfId="708" priority="539" stopIfTrue="1" operator="equal">
      <formula>$A$31</formula>
    </cfRule>
  </conditionalFormatting>
  <conditionalFormatting sqref="EK13:EK14">
    <cfRule type="cellIs" dxfId="707" priority="538" stopIfTrue="1" operator="equal">
      <formula>$A$31</formula>
    </cfRule>
  </conditionalFormatting>
  <conditionalFormatting sqref="EK9">
    <cfRule type="cellIs" dxfId="706" priority="535" stopIfTrue="1" operator="equal">
      <formula>$A$31</formula>
    </cfRule>
  </conditionalFormatting>
  <conditionalFormatting sqref="EK15">
    <cfRule type="cellIs" dxfId="705" priority="525" stopIfTrue="1" operator="equal">
      <formula>$A$31</formula>
    </cfRule>
  </conditionalFormatting>
  <conditionalFormatting sqref="EL16:EL17">
    <cfRule type="cellIs" dxfId="704" priority="469" stopIfTrue="1" operator="equal">
      <formula>$A$31</formula>
    </cfRule>
  </conditionalFormatting>
  <conditionalFormatting sqref="EL18">
    <cfRule type="cellIs" dxfId="703" priority="470" stopIfTrue="1" operator="equal">
      <formula>$A$31</formula>
    </cfRule>
  </conditionalFormatting>
  <conditionalFormatting sqref="EL8">
    <cfRule type="cellIs" dxfId="702" priority="468" stopIfTrue="1" operator="equal">
      <formula>$A$31</formula>
    </cfRule>
  </conditionalFormatting>
  <conditionalFormatting sqref="EL13:EL14">
    <cfRule type="cellIs" dxfId="701" priority="467" stopIfTrue="1" operator="equal">
      <formula>$A$31</formula>
    </cfRule>
  </conditionalFormatting>
  <conditionalFormatting sqref="EL15">
    <cfRule type="cellIs" dxfId="700" priority="454" stopIfTrue="1" operator="equal">
      <formula>$A$31</formula>
    </cfRule>
  </conditionalFormatting>
  <conditionalFormatting sqref="EM16:EM17">
    <cfRule type="cellIs" dxfId="699" priority="451" stopIfTrue="1" operator="equal">
      <formula>$A$31</formula>
    </cfRule>
  </conditionalFormatting>
  <conditionalFormatting sqref="EM18">
    <cfRule type="cellIs" dxfId="698" priority="452" stopIfTrue="1" operator="equal">
      <formula>$A$31</formula>
    </cfRule>
  </conditionalFormatting>
  <conditionalFormatting sqref="EM8">
    <cfRule type="cellIs" dxfId="697" priority="450" stopIfTrue="1" operator="equal">
      <formula>$A$31</formula>
    </cfRule>
  </conditionalFormatting>
  <conditionalFormatting sqref="EM13:EM14">
    <cfRule type="cellIs" dxfId="696" priority="449" stopIfTrue="1" operator="equal">
      <formula>$A$31</formula>
    </cfRule>
  </conditionalFormatting>
  <conditionalFormatting sqref="EM15">
    <cfRule type="cellIs" dxfId="695" priority="436" stopIfTrue="1" operator="equal">
      <formula>$A$31</formula>
    </cfRule>
  </conditionalFormatting>
  <conditionalFormatting sqref="EN16:EN17">
    <cfRule type="cellIs" dxfId="694" priority="433" stopIfTrue="1" operator="equal">
      <formula>$A$31</formula>
    </cfRule>
  </conditionalFormatting>
  <conditionalFormatting sqref="EN18">
    <cfRule type="cellIs" dxfId="693" priority="434" stopIfTrue="1" operator="equal">
      <formula>$A$31</formula>
    </cfRule>
  </conditionalFormatting>
  <conditionalFormatting sqref="EN8">
    <cfRule type="cellIs" dxfId="692" priority="432" stopIfTrue="1" operator="equal">
      <formula>$A$31</formula>
    </cfRule>
  </conditionalFormatting>
  <conditionalFormatting sqref="EN13:EN14">
    <cfRule type="cellIs" dxfId="691" priority="431" stopIfTrue="1" operator="equal">
      <formula>$A$31</formula>
    </cfRule>
  </conditionalFormatting>
  <conditionalFormatting sqref="EN9">
    <cfRule type="cellIs" dxfId="690" priority="428" stopIfTrue="1" operator="equal">
      <formula>$A$31</formula>
    </cfRule>
  </conditionalFormatting>
  <conditionalFormatting sqref="EN15">
    <cfRule type="cellIs" dxfId="689" priority="418" stopIfTrue="1" operator="equal">
      <formula>$A$31</formula>
    </cfRule>
  </conditionalFormatting>
  <conditionalFormatting sqref="EO16">
    <cfRule type="cellIs" dxfId="688" priority="356" stopIfTrue="1" operator="equal">
      <formula>$A$30</formula>
    </cfRule>
  </conditionalFormatting>
  <conditionalFormatting sqref="EO15">
    <cfRule type="cellIs" dxfId="687" priority="355" stopIfTrue="1" operator="equal">
      <formula>$A$30</formula>
    </cfRule>
  </conditionalFormatting>
  <conditionalFormatting sqref="EP16">
    <cfRule type="cellIs" dxfId="686" priority="310" stopIfTrue="1" operator="equal">
      <formula>$A$30</formula>
    </cfRule>
  </conditionalFormatting>
  <conditionalFormatting sqref="EP15">
    <cfRule type="cellIs" dxfId="685" priority="309" stopIfTrue="1" operator="equal">
      <formula>$A$30</formula>
    </cfRule>
  </conditionalFormatting>
  <conditionalFormatting sqref="EQ16">
    <cfRule type="cellIs" dxfId="684" priority="264" stopIfTrue="1" operator="equal">
      <formula>$A$30</formula>
    </cfRule>
  </conditionalFormatting>
  <conditionalFormatting sqref="EQ15">
    <cfRule type="cellIs" dxfId="683" priority="263" stopIfTrue="1" operator="equal">
      <formula>$A$30</formula>
    </cfRule>
  </conditionalFormatting>
  <conditionalFormatting sqref="ER8">
    <cfRule type="cellIs" dxfId="682" priority="179" stopIfTrue="1" operator="equal">
      <formula>$A$31</formula>
    </cfRule>
  </conditionalFormatting>
  <conditionalFormatting sqref="ER14">
    <cfRule type="cellIs" dxfId="681" priority="178" stopIfTrue="1" operator="equal">
      <formula>$A$31</formula>
    </cfRule>
  </conditionalFormatting>
  <conditionalFormatting sqref="ES8">
    <cfRule type="cellIs" dxfId="680" priority="173" stopIfTrue="1" operator="equal">
      <formula>$A$31</formula>
    </cfRule>
  </conditionalFormatting>
  <conditionalFormatting sqref="ES14">
    <cfRule type="cellIs" dxfId="679" priority="172" stopIfTrue="1" operator="equal">
      <formula>$A$31</formula>
    </cfRule>
  </conditionalFormatting>
  <conditionalFormatting sqref="ES9">
    <cfRule type="cellIs" dxfId="678" priority="166" stopIfTrue="1" operator="equal">
      <formula>$A$31</formula>
    </cfRule>
  </conditionalFormatting>
  <conditionalFormatting sqref="ES11">
    <cfRule type="cellIs" dxfId="677" priority="167" stopIfTrue="1" operator="equal">
      <formula>$A$30</formula>
    </cfRule>
  </conditionalFormatting>
  <conditionalFormatting sqref="ES15:ES17">
    <cfRule type="cellIs" dxfId="676" priority="158" stopIfTrue="1" operator="equal">
      <formula>$A$31</formula>
    </cfRule>
  </conditionalFormatting>
  <conditionalFormatting sqref="ES16">
    <cfRule type="cellIs" dxfId="675" priority="159" stopIfTrue="1" operator="equal">
      <formula>$A$30</formula>
    </cfRule>
  </conditionalFormatting>
  <conditionalFormatting sqref="ES16">
    <cfRule type="cellIs" dxfId="674" priority="157" stopIfTrue="1" operator="equal">
      <formula>$A$30</formula>
    </cfRule>
  </conditionalFormatting>
  <conditionalFormatting sqref="ES15">
    <cfRule type="cellIs" dxfId="673" priority="156" stopIfTrue="1" operator="equal">
      <formula>$A$30</formula>
    </cfRule>
  </conditionalFormatting>
  <conditionalFormatting sqref="ES13:EW13">
    <cfRule type="cellIs" dxfId="672" priority="113" stopIfTrue="1" operator="equal">
      <formula>$A$31</formula>
    </cfRule>
  </conditionalFormatting>
  <conditionalFormatting sqref="ES18">
    <cfRule type="cellIs" dxfId="671" priority="112" stopIfTrue="1" operator="equal">
      <formula>$A$31</formula>
    </cfRule>
  </conditionalFormatting>
  <conditionalFormatting sqref="EP9">
    <cfRule type="cellIs" dxfId="670" priority="110" stopIfTrue="1" operator="equal">
      <formula>$A$31</formula>
    </cfRule>
  </conditionalFormatting>
  <conditionalFormatting sqref="EQ9">
    <cfRule type="cellIs" dxfId="669" priority="109" stopIfTrue="1" operator="equal">
      <formula>$A$31</formula>
    </cfRule>
  </conditionalFormatting>
  <conditionalFormatting sqref="EL9">
    <cfRule type="cellIs" dxfId="668" priority="107" stopIfTrue="1" operator="equal">
      <formula>$A$31</formula>
    </cfRule>
  </conditionalFormatting>
  <conditionalFormatting sqref="EM9">
    <cfRule type="cellIs" dxfId="667" priority="106" stopIfTrue="1" operator="equal">
      <formula>$A$31</formula>
    </cfRule>
  </conditionalFormatting>
  <conditionalFormatting sqref="EN12">
    <cfRule type="cellIs" dxfId="666" priority="105" stopIfTrue="1" operator="equal">
      <formula>$A$31</formula>
    </cfRule>
  </conditionalFormatting>
  <conditionalFormatting sqref="ET8">
    <cfRule type="cellIs" dxfId="665" priority="104" stopIfTrue="1" operator="equal">
      <formula>$A$31</formula>
    </cfRule>
  </conditionalFormatting>
  <conditionalFormatting sqref="ET14">
    <cfRule type="cellIs" dxfId="664" priority="103" stopIfTrue="1" operator="equal">
      <formula>$A$31</formula>
    </cfRule>
  </conditionalFormatting>
  <conditionalFormatting sqref="EU8:EV8">
    <cfRule type="cellIs" dxfId="663" priority="97" stopIfTrue="1" operator="equal">
      <formula>$A$31</formula>
    </cfRule>
  </conditionalFormatting>
  <conditionalFormatting sqref="EU14">
    <cfRule type="cellIs" dxfId="662" priority="96" stopIfTrue="1" operator="equal">
      <formula>$A$31</formula>
    </cfRule>
  </conditionalFormatting>
  <conditionalFormatting sqref="EU18">
    <cfRule type="cellIs" dxfId="661" priority="90" stopIfTrue="1" operator="equal">
      <formula>$A$31</formula>
    </cfRule>
  </conditionalFormatting>
  <conditionalFormatting sqref="EV11">
    <cfRule type="cellIs" dxfId="660" priority="69" stopIfTrue="1" operator="equal">
      <formula>$A$30</formula>
    </cfRule>
  </conditionalFormatting>
  <conditionalFormatting sqref="EW16:EW17">
    <cfRule type="cellIs" dxfId="659" priority="63" stopIfTrue="1" operator="equal">
      <formula>$A$31</formula>
    </cfRule>
  </conditionalFormatting>
  <conditionalFormatting sqref="EW8:EX8">
    <cfRule type="cellIs" dxfId="658" priority="62" stopIfTrue="1" operator="equal">
      <formula>$A$31</formula>
    </cfRule>
  </conditionalFormatting>
  <conditionalFormatting sqref="EW14">
    <cfRule type="cellIs" dxfId="657" priority="61" stopIfTrue="1" operator="equal">
      <formula>$A$31</formula>
    </cfRule>
  </conditionalFormatting>
  <conditionalFormatting sqref="EW9">
    <cfRule type="cellIs" dxfId="656" priority="58" stopIfTrue="1" operator="equal">
      <formula>$A$31</formula>
    </cfRule>
  </conditionalFormatting>
  <conditionalFormatting sqref="EW15">
    <cfRule type="cellIs" dxfId="655" priority="48" stopIfTrue="1" operator="equal">
      <formula>$A$31</formula>
    </cfRule>
  </conditionalFormatting>
  <conditionalFormatting sqref="EX13">
    <cfRule type="cellIs" dxfId="654" priority="44" stopIfTrue="1" operator="equal">
      <formula>$A$31</formula>
    </cfRule>
  </conditionalFormatting>
  <conditionalFormatting sqref="EX18">
    <cfRule type="cellIs" dxfId="653" priority="43" stopIfTrue="1" operator="equal">
      <formula>$A$31</formula>
    </cfRule>
  </conditionalFormatting>
  <conditionalFormatting sqref="EX16:EX17">
    <cfRule type="cellIs" dxfId="652" priority="41" stopIfTrue="1" operator="equal">
      <formula>$A$31</formula>
    </cfRule>
  </conditionalFormatting>
  <conditionalFormatting sqref="EX14">
    <cfRule type="cellIs" dxfId="651" priority="39" stopIfTrue="1" operator="equal">
      <formula>$A$31</formula>
    </cfRule>
  </conditionalFormatting>
  <conditionalFormatting sqref="EX9">
    <cfRule type="cellIs" dxfId="650" priority="36" stopIfTrue="1" operator="equal">
      <formula>$A$31</formula>
    </cfRule>
  </conditionalFormatting>
  <conditionalFormatting sqref="EX15">
    <cfRule type="cellIs" dxfId="649" priority="26" stopIfTrue="1" operator="equal">
      <formula>$A$31</formula>
    </cfRule>
  </conditionalFormatting>
  <conditionalFormatting sqref="EY8">
    <cfRule type="cellIs" dxfId="648" priority="22" stopIfTrue="1" operator="equal">
      <formula>$A$31</formula>
    </cfRule>
  </conditionalFormatting>
  <conditionalFormatting sqref="EY13">
    <cfRule type="cellIs" dxfId="647" priority="21" stopIfTrue="1" operator="equal">
      <formula>$A$31</formula>
    </cfRule>
  </conditionalFormatting>
  <conditionalFormatting sqref="EY18">
    <cfRule type="cellIs" dxfId="646" priority="20" stopIfTrue="1" operator="equal">
      <formula>$A$31</formula>
    </cfRule>
  </conditionalFormatting>
  <conditionalFormatting sqref="EY16:EY17">
    <cfRule type="cellIs" dxfId="645" priority="18" stopIfTrue="1" operator="equal">
      <formula>$A$31</formula>
    </cfRule>
  </conditionalFormatting>
  <conditionalFormatting sqref="EY14">
    <cfRule type="cellIs" dxfId="644" priority="17" stopIfTrue="1" operator="equal">
      <formula>$A$31</formula>
    </cfRule>
  </conditionalFormatting>
  <conditionalFormatting sqref="EY9">
    <cfRule type="cellIs" dxfId="643" priority="14" stopIfTrue="1" operator="equal">
      <formula>$A$31</formula>
    </cfRule>
  </conditionalFormatting>
  <conditionalFormatting sqref="EY15">
    <cfRule type="cellIs" dxfId="642" priority="4"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G67" sqref="G67"/>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ANDALUCIA</v>
      </c>
    </row>
    <row r="2" spans="1:74" ht="16.5" customHeight="1">
      <c r="C2" s="491" t="str">
        <f>Criterios!A10 &amp;"  "&amp;Criterios!B10 &amp; "  " &amp; IF(NOT(ISBLANK(Criterios!A11)),Criterios!A11 &amp;"  "&amp;Criterios!B11,"")</f>
        <v>Provincias  SEVILLA  Resumenes por Partidos Judiciales  CARMONA</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54" t="s">
        <v>354</v>
      </c>
      <c r="B5" s="275"/>
      <c r="C5" s="1489"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669</v>
      </c>
      <c r="L5" s="1480" t="s">
        <v>566</v>
      </c>
      <c r="M5" s="1480" t="s">
        <v>534</v>
      </c>
      <c r="N5" s="1480" t="s">
        <v>670</v>
      </c>
      <c r="O5" s="1483" t="s">
        <v>592</v>
      </c>
      <c r="P5" s="1480" t="s">
        <v>688</v>
      </c>
      <c r="Q5" s="1480" t="s">
        <v>683</v>
      </c>
      <c r="R5" s="1480" t="s">
        <v>170</v>
      </c>
      <c r="S5" s="1486" t="s">
        <v>680</v>
      </c>
      <c r="T5" s="1486" t="s">
        <v>682</v>
      </c>
      <c r="U5" s="1480" t="s">
        <v>595</v>
      </c>
      <c r="V5" s="1486" t="s">
        <v>567</v>
      </c>
      <c r="W5" s="1480" t="s">
        <v>775</v>
      </c>
      <c r="X5" s="1480" t="s">
        <v>776</v>
      </c>
      <c r="Y5" s="1500" t="s">
        <v>671</v>
      </c>
      <c r="Z5" s="1497" t="s">
        <v>617</v>
      </c>
      <c r="AA5" s="1515" t="s">
        <v>568</v>
      </c>
      <c r="AB5" s="1497" t="s">
        <v>569</v>
      </c>
      <c r="AC5" s="1497" t="s">
        <v>570</v>
      </c>
      <c r="AD5" s="1518" t="s">
        <v>672</v>
      </c>
      <c r="AE5" s="1518" t="s">
        <v>803</v>
      </c>
      <c r="AF5" s="1480" t="s">
        <v>684</v>
      </c>
      <c r="AG5" s="1480" t="s">
        <v>535</v>
      </c>
      <c r="AH5" s="1480" t="s">
        <v>673</v>
      </c>
      <c r="AI5" s="1480" t="s">
        <v>181</v>
      </c>
      <c r="AJ5" s="1480" t="s">
        <v>738</v>
      </c>
      <c r="AK5" s="1480" t="s">
        <v>536</v>
      </c>
      <c r="AL5" s="1480" t="s">
        <v>537</v>
      </c>
      <c r="AM5" s="1480" t="s">
        <v>689</v>
      </c>
      <c r="AN5" s="1480" t="s">
        <v>538</v>
      </c>
      <c r="AO5" s="1480" t="s">
        <v>539</v>
      </c>
      <c r="AP5" s="1480" t="s">
        <v>540</v>
      </c>
      <c r="AQ5" s="1480" t="s">
        <v>541</v>
      </c>
      <c r="AR5" s="1480" t="s">
        <v>674</v>
      </c>
      <c r="AS5" s="1480" t="s">
        <v>184</v>
      </c>
      <c r="AT5" s="1503" t="s">
        <v>182</v>
      </c>
      <c r="AU5" s="1480" t="s">
        <v>685</v>
      </c>
      <c r="AV5" s="1506" t="s">
        <v>686</v>
      </c>
      <c r="AW5" s="1509" t="s">
        <v>543</v>
      </c>
      <c r="AX5" s="1480" t="s">
        <v>544</v>
      </c>
      <c r="AY5" s="1480" t="s">
        <v>615</v>
      </c>
      <c r="AZ5" s="1512" t="s">
        <v>616</v>
      </c>
      <c r="BA5" s="1480" t="s">
        <v>572</v>
      </c>
      <c r="BB5" s="1506" t="s">
        <v>573</v>
      </c>
      <c r="BC5" s="1509" t="s">
        <v>185</v>
      </c>
      <c r="BD5" s="1480" t="s">
        <v>574</v>
      </c>
      <c r="BE5" s="1480" t="s">
        <v>250</v>
      </c>
      <c r="BF5" s="1480" t="s">
        <v>251</v>
      </c>
      <c r="BG5" s="1480" t="s">
        <v>252</v>
      </c>
      <c r="BH5" s="1480" t="s">
        <v>575</v>
      </c>
      <c r="BI5" s="1480" t="s">
        <v>253</v>
      </c>
      <c r="BJ5" s="1480" t="s">
        <v>576</v>
      </c>
      <c r="BK5" s="1480" t="s">
        <v>590</v>
      </c>
      <c r="BL5" s="1480" t="s">
        <v>577</v>
      </c>
      <c r="BM5" s="1480" t="s">
        <v>578</v>
      </c>
      <c r="BN5" s="1480" t="s">
        <v>603</v>
      </c>
      <c r="BO5" s="1480" t="s">
        <v>596</v>
      </c>
      <c r="BP5" s="1480" t="s">
        <v>846</v>
      </c>
      <c r="BQ5" s="1480" t="s">
        <v>849</v>
      </c>
      <c r="BR5" s="1480" t="s">
        <v>851</v>
      </c>
      <c r="BS5" s="1480" t="s">
        <v>597</v>
      </c>
      <c r="BT5" s="1480" t="s">
        <v>579</v>
      </c>
      <c r="BU5" s="1480" t="s">
        <v>542</v>
      </c>
      <c r="BV5" s="1494" t="s">
        <v>777</v>
      </c>
    </row>
    <row r="6" spans="1:74" ht="21.75" customHeight="1">
      <c r="A6" s="1255"/>
      <c r="B6" s="276"/>
      <c r="C6" s="1490"/>
      <c r="D6" s="1481"/>
      <c r="E6" s="1481"/>
      <c r="F6" s="1492"/>
      <c r="G6" s="1481"/>
      <c r="H6" s="1481"/>
      <c r="I6" s="1481"/>
      <c r="J6" s="1481"/>
      <c r="K6" s="1481"/>
      <c r="L6" s="1481"/>
      <c r="M6" s="1481"/>
      <c r="N6" s="1481"/>
      <c r="O6" s="1484"/>
      <c r="P6" s="1481"/>
      <c r="Q6" s="1481"/>
      <c r="R6" s="1481"/>
      <c r="S6" s="1487"/>
      <c r="T6" s="1487"/>
      <c r="U6" s="1481"/>
      <c r="V6" s="1487"/>
      <c r="W6" s="1481"/>
      <c r="X6" s="1481"/>
      <c r="Y6" s="1501"/>
      <c r="Z6" s="1498"/>
      <c r="AA6" s="1516"/>
      <c r="AB6" s="1498"/>
      <c r="AC6" s="1498"/>
      <c r="AD6" s="1519"/>
      <c r="AE6" s="1519"/>
      <c r="AF6" s="1481"/>
      <c r="AG6" s="1481"/>
      <c r="AH6" s="1481"/>
      <c r="AI6" s="1481"/>
      <c r="AJ6" s="1481"/>
      <c r="AK6" s="1481"/>
      <c r="AL6" s="1481"/>
      <c r="AM6" s="1481"/>
      <c r="AN6" s="1481"/>
      <c r="AO6" s="1481"/>
      <c r="AP6" s="1481"/>
      <c r="AQ6" s="1481"/>
      <c r="AR6" s="1481"/>
      <c r="AS6" s="1481"/>
      <c r="AT6" s="1504"/>
      <c r="AU6" s="1481"/>
      <c r="AV6" s="1507"/>
      <c r="AW6" s="1510"/>
      <c r="AX6" s="1481"/>
      <c r="AY6" s="1481"/>
      <c r="AZ6" s="1513"/>
      <c r="BA6" s="1481"/>
      <c r="BB6" s="1507"/>
      <c r="BC6" s="1510"/>
      <c r="BD6" s="1481"/>
      <c r="BE6" s="1481"/>
      <c r="BF6" s="1481"/>
      <c r="BG6" s="1481"/>
      <c r="BH6" s="1481"/>
      <c r="BI6" s="1481"/>
      <c r="BJ6" s="1481"/>
      <c r="BK6" s="1481"/>
      <c r="BL6" s="1481"/>
      <c r="BM6" s="1481"/>
      <c r="BN6" s="1481"/>
      <c r="BO6" s="1481"/>
      <c r="BP6" s="1481"/>
      <c r="BQ6" s="1481"/>
      <c r="BR6" s="1481"/>
      <c r="BS6" s="1481"/>
      <c r="BT6" s="1481"/>
      <c r="BU6" s="1481"/>
      <c r="BV6" s="1495"/>
    </row>
    <row r="7" spans="1:74" ht="38.25" customHeight="1" thickBot="1">
      <c r="A7" s="1256"/>
      <c r="B7" s="277"/>
      <c r="C7" s="267" t="str">
        <f>Datos!A7</f>
        <v>COMPETENCIAS</v>
      </c>
      <c r="D7" s="1482"/>
      <c r="E7" s="1482"/>
      <c r="F7" s="1493"/>
      <c r="G7" s="1482"/>
      <c r="H7" s="1482"/>
      <c r="I7" s="1482"/>
      <c r="J7" s="1482"/>
      <c r="K7" s="1482"/>
      <c r="L7" s="1482"/>
      <c r="M7" s="1482"/>
      <c r="N7" s="1482"/>
      <c r="O7" s="1485"/>
      <c r="P7" s="1482"/>
      <c r="Q7" s="1482"/>
      <c r="R7" s="1482"/>
      <c r="S7" s="1488"/>
      <c r="T7" s="1488"/>
      <c r="U7" s="1482"/>
      <c r="V7" s="1488"/>
      <c r="W7" s="1482"/>
      <c r="X7" s="1482"/>
      <c r="Y7" s="1502"/>
      <c r="Z7" s="1499"/>
      <c r="AA7" s="1517"/>
      <c r="AB7" s="1499"/>
      <c r="AC7" s="1499"/>
      <c r="AD7" s="1520"/>
      <c r="AE7" s="1520"/>
      <c r="AF7" s="1482"/>
      <c r="AG7" s="1482"/>
      <c r="AH7" s="1482"/>
      <c r="AI7" s="1482"/>
      <c r="AJ7" s="1482"/>
      <c r="AK7" s="1482"/>
      <c r="AL7" s="1482"/>
      <c r="AM7" s="1482"/>
      <c r="AN7" s="1482"/>
      <c r="AO7" s="1482"/>
      <c r="AP7" s="1482"/>
      <c r="AQ7" s="1482"/>
      <c r="AR7" s="1482"/>
      <c r="AS7" s="1482"/>
      <c r="AT7" s="1505"/>
      <c r="AU7" s="1482"/>
      <c r="AV7" s="1508"/>
      <c r="AW7" s="1511"/>
      <c r="AX7" s="1482"/>
      <c r="AY7" s="1482"/>
      <c r="AZ7" s="1514"/>
      <c r="BA7" s="1482"/>
      <c r="BB7" s="1508"/>
      <c r="BC7" s="1511"/>
      <c r="BD7" s="1482"/>
      <c r="BE7" s="1482"/>
      <c r="BF7" s="1482"/>
      <c r="BG7" s="1482"/>
      <c r="BH7" s="1482"/>
      <c r="BI7" s="1482"/>
      <c r="BJ7" s="1482"/>
      <c r="BK7" s="1482"/>
      <c r="BL7" s="1482"/>
      <c r="BM7" s="1482"/>
      <c r="BN7" s="1482"/>
      <c r="BO7" s="1482"/>
      <c r="BP7" s="1482"/>
      <c r="BQ7" s="1482"/>
      <c r="BR7" s="1482"/>
      <c r="BS7" s="1482"/>
      <c r="BT7" s="1482"/>
      <c r="BU7" s="1482"/>
      <c r="BV7" s="1496"/>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249</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327.27272727272731</v>
      </c>
    </row>
    <row r="10" spans="1:74" ht="14.25">
      <c r="A10" s="504">
        <f>Datos!AO10</f>
        <v>1</v>
      </c>
      <c r="B10" s="510" t="s">
        <v>249</v>
      </c>
      <c r="C10" s="7" t="str">
        <f>Datos!A10</f>
        <v>Jdos. Violencia contra la mujer</v>
      </c>
      <c r="D10" s="511"/>
      <c r="E10" s="263">
        <f>IF(ISNUMBER(Datos!AQ10),Datos!AQ10," - ")</f>
        <v>0</v>
      </c>
      <c r="F10" s="228">
        <f>IF(ISNUMBER(Datos!L10+Datos!K10-Datos!J10),Datos!L10+Datos!K10-Datos!J10," - ")</f>
        <v>37</v>
      </c>
      <c r="G10" s="336">
        <f>IF(ISNUMBER(Datos!I10),Datos!I10," - ")</f>
        <v>37</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0</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10</v>
      </c>
      <c r="AC10" s="229">
        <f>IF(ISNUMBER(Datos!Q10),Datos!Q10," - ")</f>
        <v>0</v>
      </c>
      <c r="AD10" s="337"/>
      <c r="AE10" s="487"/>
      <c r="AF10" s="335">
        <f>IF(ISNUMBER(Datos!L10),Datos!L10,"-")</f>
        <v>37</v>
      </c>
      <c r="AG10" s="337"/>
      <c r="AH10" s="337"/>
      <c r="AI10" s="337"/>
      <c r="AJ10" s="337"/>
      <c r="AK10" s="337"/>
      <c r="AL10" s="482"/>
      <c r="AM10" s="338">
        <f>IF(ISNUMBER(Datos!R10),Datos!R10," - ")</f>
        <v>6</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7</v>
      </c>
      <c r="BD10" s="232">
        <f>IF(ISNUMBER(Datos!N10),Datos!N10," - ")</f>
        <v>1</v>
      </c>
      <c r="BE10" s="232" t="str">
        <f>IF(ISNUMBER(Datos!BW10),Datos!BW10," - ")</f>
        <v xml:space="preserve"> - </v>
      </c>
      <c r="BF10" s="231" t="str">
        <f>IF(ISNUMBER(Datos!BX10),Datos!BX10," - ")</f>
        <v xml:space="preserve"> - </v>
      </c>
      <c r="BG10" s="246">
        <f>IF(ISNUMBER(Datos!K10/Datos!J10),Datos!K10/Datos!J10," - ")</f>
        <v>1</v>
      </c>
      <c r="BH10" s="263">
        <f>IF(ISNUMBER(((Datos!L10/Datos!K10)*11)/factor_trimestre),((Datos!L10/Datos!K10)*11)/factor_trimestre," - ")</f>
        <v>11.100000000000001</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f>IF(ISNUMBER((Datos!P10-Datos!Q10+Datos!DE10)/(Datos!R10-Datos!P10+Datos!Q10-Datos!DE10)),(Datos!P10-Datos!Q10+Datos!DE10)/(Datos!R10-Datos!P10+Datos!Q10-Datos!DE10)," - ")</f>
        <v>0</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436.36363636363637</v>
      </c>
    </row>
    <row r="11" spans="1:74" ht="14.25">
      <c r="A11" s="504">
        <f>Datos!AO11</f>
        <v>0</v>
      </c>
      <c r="B11" s="510" t="s">
        <v>249</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IF(ISNUMBER((J11-AB11+L11)/(F11)),(J11-AB11+L11)/(F11),"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360.81818181818181</v>
      </c>
    </row>
    <row r="12" spans="1:74" ht="15" thickBot="1">
      <c r="A12" s="504">
        <f>Datos!AO12</f>
        <v>3</v>
      </c>
      <c r="B12" s="510" t="s">
        <v>249</v>
      </c>
      <c r="C12" s="7" t="str">
        <f>Datos!A12</f>
        <v xml:space="preserve">Jdos. 1ª Instª. e Instr.                        </v>
      </c>
      <c r="D12" s="511"/>
      <c r="E12" s="263">
        <f>IF(ISNUMBER(Datos!AQ12),Datos!AQ12," - ")</f>
        <v>3</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31</v>
      </c>
      <c r="O12" s="337"/>
      <c r="P12" s="337"/>
      <c r="Q12" s="229">
        <f>IF(ISNUMBER(Datos!P12),Datos!P12,0)</f>
        <v>220</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253</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60</v>
      </c>
      <c r="AI12" s="337" t="str">
        <f>IF(ISNUMBER(Datos!CD12),Datos!CD12,"-")</f>
        <v>-</v>
      </c>
      <c r="AJ12" s="337" t="str">
        <f>IF(ISNUMBER(Datos!EN12),Datos!EN12," - ")</f>
        <v xml:space="preserve"> - </v>
      </c>
      <c r="AK12" s="337"/>
      <c r="AL12" s="482"/>
      <c r="AM12" s="338">
        <f>IF(ISNUMBER(Datos!R12),Datos!R12," - ")</f>
        <v>2914</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213</v>
      </c>
      <c r="BD12" s="232">
        <f>IF(ISNUMBER(Datos!N12),Datos!N12," - ")</f>
        <v>310</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1.0996216897856241</v>
      </c>
      <c r="BH12" s="263">
        <f>IF(ISNUMBER(((IF(J_V="SI",Datos!L12/Datos!K12,(Datos!L12+Datos!AB12)/(Datos!K12+Datos!AA12)))*11)/factor_trimestre),((IF(J_V="SI",Datos!L12/Datos!K12,(Datos!L12+Datos!AB12)/(Datos!K12+Datos!AA12)))*11)/factor_trimestre," - ")</f>
        <v>9.1823394495412867</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-1.1197828299966068E-2</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185.45454545454547</v>
      </c>
    </row>
    <row r="13" spans="1:74" ht="15.75" thickTop="1" thickBot="1">
      <c r="A13" s="181"/>
      <c r="B13" s="181"/>
      <c r="C13" s="866" t="str">
        <f>Datos!A13</f>
        <v>TOTAL</v>
      </c>
      <c r="D13" s="900"/>
      <c r="E13" s="1167">
        <f t="shared" ref="E13:Z13" si="0">SUBTOTAL(9,E8:E12)</f>
        <v>3</v>
      </c>
      <c r="F13" s="901">
        <f t="shared" si="0"/>
        <v>37</v>
      </c>
      <c r="G13" s="901">
        <f t="shared" si="0"/>
        <v>37</v>
      </c>
      <c r="H13" s="902">
        <f t="shared" si="0"/>
        <v>0</v>
      </c>
      <c r="I13" s="901">
        <f t="shared" si="0"/>
        <v>0</v>
      </c>
      <c r="J13" s="870">
        <f t="shared" si="0"/>
        <v>0</v>
      </c>
      <c r="K13" s="870">
        <f t="shared" si="0"/>
        <v>0</v>
      </c>
      <c r="L13" s="902">
        <f t="shared" si="0"/>
        <v>0</v>
      </c>
      <c r="M13" s="902">
        <f t="shared" si="0"/>
        <v>0</v>
      </c>
      <c r="N13" s="902">
        <f t="shared" si="0"/>
        <v>31</v>
      </c>
      <c r="O13" s="903">
        <f t="shared" si="0"/>
        <v>0</v>
      </c>
      <c r="P13" s="903">
        <f t="shared" si="0"/>
        <v>0</v>
      </c>
      <c r="Q13" s="902">
        <f t="shared" si="0"/>
        <v>220</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10</v>
      </c>
      <c r="AC13" s="902">
        <f t="shared" si="1"/>
        <v>253</v>
      </c>
      <c r="AD13" s="902">
        <f t="shared" si="1"/>
        <v>0</v>
      </c>
      <c r="AE13" s="902">
        <f t="shared" si="1"/>
        <v>0</v>
      </c>
      <c r="AF13" s="902">
        <f t="shared" si="1"/>
        <v>37</v>
      </c>
      <c r="AG13" s="902">
        <f t="shared" si="1"/>
        <v>0</v>
      </c>
      <c r="AH13" s="902">
        <f t="shared" si="1"/>
        <v>60</v>
      </c>
      <c r="AI13" s="902">
        <f t="shared" si="1"/>
        <v>0</v>
      </c>
      <c r="AJ13" s="902">
        <f t="shared" si="1"/>
        <v>0</v>
      </c>
      <c r="AK13" s="902">
        <f t="shared" si="1"/>
        <v>0</v>
      </c>
      <c r="AL13" s="902">
        <f t="shared" si="1"/>
        <v>0</v>
      </c>
      <c r="AM13" s="902">
        <f t="shared" si="1"/>
        <v>2920</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220</v>
      </c>
      <c r="BD13" s="902">
        <f t="shared" si="1"/>
        <v>311</v>
      </c>
      <c r="BE13" s="902">
        <f t="shared" si="1"/>
        <v>0</v>
      </c>
      <c r="BF13" s="902">
        <f t="shared" si="1"/>
        <v>0</v>
      </c>
      <c r="BG13" s="902">
        <f>IF(ISNUMBER(Datos!K13/Datos!J13),Datos!K13/Datos!J13," - ")</f>
        <v>1.0621761658031088</v>
      </c>
      <c r="BH13" s="906">
        <f>IF(ISNUMBER(((Datos!L13/Datos!K13)*11)/factor_trimestre),((Datos!L13/Datos!K13)*11)/factor_trimestre," - ")</f>
        <v>9.6804878048780498</v>
      </c>
      <c r="BI13" s="902">
        <f>IF(ISNUMBER('Resol  Asuntos'!D13/NºAsuntos!G13),'Resol  Asuntos'!D13/NºAsuntos!G13," - ")</f>
        <v>0.24943310657596371</v>
      </c>
      <c r="BJ13" s="902" t="str">
        <f>IF(ISNUMBER(Datos!CI13/Datos!CJ13),Datos!CI13/Datos!CJ13," - ")</f>
        <v xml:space="preserve"> - </v>
      </c>
      <c r="BK13" s="902">
        <f>SUBTOTAL(9,BK8:BK12)</f>
        <v>0</v>
      </c>
      <c r="BL13" s="902">
        <f>IF(ISNUMBER((I13-AB13+L13)/(F13)),(I13-AB13+L13)/(F13)," - ")</f>
        <v>-0.27027027027027029</v>
      </c>
      <c r="BM13" s="907">
        <f>SUBTOTAL(9,BM9:BM12)</f>
        <v>-1.1197828299966068E-2</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1309.909090909091</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400</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900</v>
      </c>
    </row>
    <row r="16" spans="1:74" s="602" customFormat="1" ht="14.25">
      <c r="A16" s="596">
        <f>Datos!AO16</f>
        <v>3</v>
      </c>
      <c r="B16" s="597" t="s">
        <v>400</v>
      </c>
      <c r="C16" s="603" t="str">
        <f>Datos!A16</f>
        <v xml:space="preserve">Jdos. 1ª Instª. e Instr.                        </v>
      </c>
      <c r="D16" s="604"/>
      <c r="E16" s="1168">
        <f>IF(ISNUMBER(Datos!AQ16),Datos!AQ16," - ")</f>
        <v>3</v>
      </c>
      <c r="F16" s="598">
        <f>IF(ISNUMBER(AF16+AB16-Datos!J16-L16),AF16+AB16-Datos!J16-L16," - ")</f>
        <v>1169</v>
      </c>
      <c r="G16" s="601">
        <f>IF(ISNUMBER(IF(D_I="SI",Datos!I16,Datos!I16+Datos!AC16)),IF(D_I="SI",Datos!I16,Datos!I16+Datos!AC16)," - ")</f>
        <v>1161</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42</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960</v>
      </c>
      <c r="AC16" s="229">
        <f>IF(ISNUMBER(Datos!Q16),Datos!Q16," - ")</f>
        <v>26</v>
      </c>
      <c r="AD16" s="337"/>
      <c r="AE16" s="487"/>
      <c r="AF16" s="599">
        <f>IF(ISNUMBER(IF(D_I="SI",Datos!L16,Datos!L16+Datos!AF16)),IF(D_I="SI",Datos!L16,Datos!L16+Datos!AF16)," - ")</f>
        <v>1122</v>
      </c>
      <c r="AG16" s="337"/>
      <c r="AH16" s="337"/>
      <c r="AI16" s="337"/>
      <c r="AJ16" s="337"/>
      <c r="AK16" s="337"/>
      <c r="AL16" s="482"/>
      <c r="AM16" s="338">
        <f>IF(ISNUMBER(Datos!R16),Datos!R16," - ")</f>
        <v>97</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92</v>
      </c>
      <c r="BD16" s="232">
        <f>IF(ISNUMBER(Datos!N16),Datos!N16," - ")</f>
        <v>657</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1.0514786418400877</v>
      </c>
      <c r="BH16" s="263">
        <f>IF(ISNUMBER(((IF(D_I="SI",Datos!L16/Datos!K16,(Datos!L16+Datos!AF16)/(Datos!K16+Datos!AE16)))*11)/factor_trimestre),((IF(D_I="SI",Datos!L16/Datos!K16,(Datos!L16+Datos!AF16)/(Datos!K16+Datos!AE16)))*11)/factor_trimestre," - ")</f>
        <v>3.5062500000000001</v>
      </c>
      <c r="BI16" s="246">
        <f>IF(ISNUMBER('Resol  Asuntos'!D16/NºAsuntos!G16),'Resol  Asuntos'!D16/NºAsuntos!G16," - ")</f>
        <v>9.583333333333334E-2</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272.72727272727275</v>
      </c>
    </row>
    <row r="17" spans="1:74" ht="15" thickBot="1">
      <c r="A17" s="504">
        <f>Datos!AO17</f>
        <v>1</v>
      </c>
      <c r="B17" s="510" t="s">
        <v>400</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101</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4</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144</v>
      </c>
      <c r="AC17" s="229">
        <f>IF(ISNUMBER(Datos!Q17),Datos!Q17," - ")</f>
        <v>6</v>
      </c>
      <c r="AD17" s="337"/>
      <c r="AE17" s="487"/>
      <c r="AF17" s="335">
        <f>IF(ISNUMBER(Datos!L17),Datos!L17,"-")</f>
        <v>93</v>
      </c>
      <c r="AG17" s="337"/>
      <c r="AH17" s="337"/>
      <c r="AI17" s="337"/>
      <c r="AJ17" s="337"/>
      <c r="AK17" s="337"/>
      <c r="AL17" s="482"/>
      <c r="AM17" s="338">
        <f>IF(ISNUMBER(Datos!R17),Datos!R17," - ")</f>
        <v>4</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19</v>
      </c>
      <c r="BD17" s="232">
        <f>IF(ISNUMBER(Datos!N17),Datos!N17," - ")</f>
        <v>88</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1.0588235294117647</v>
      </c>
      <c r="BH17" s="263">
        <f>IF(ISNUMBER(((IF(D_I="SI",Datos!L17/Datos!K17,(Datos!L17+Datos!AF17)/(Datos!K17+Datos!AE17)))*11)/factor_trimestre),((IF(D_I="SI",Datos!L17/Datos!K17,(Datos!L17+Datos!AF17)/(Datos!K17+Datos!AE17)))*11)/factor_trimestre," - ")</f>
        <v>1.9375000000000002</v>
      </c>
      <c r="BI17" s="246">
        <f>IF(ISNUMBER('Resol  Asuntos'!D17/NºAsuntos!G17),'Resol  Asuntos'!D17/NºAsuntos!G17," - ")</f>
        <v>0.13194444444444445</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436.36363636363637</v>
      </c>
    </row>
    <row r="18" spans="1:74" ht="15.75" thickTop="1" thickBot="1">
      <c r="A18" s="181"/>
      <c r="B18" s="181"/>
      <c r="C18" s="866" t="str">
        <f>Datos!A18</f>
        <v>TOTAL</v>
      </c>
      <c r="D18" s="900"/>
      <c r="E18" s="1167">
        <f>SUBTOTAL(9,E15:E17)</f>
        <v>3</v>
      </c>
      <c r="F18" s="901">
        <f>SUBTOTAL(9,F15:F17)</f>
        <v>1169</v>
      </c>
      <c r="G18" s="901">
        <f>SUBTOTAL(9,G15:G17)</f>
        <v>1262</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46</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1104</v>
      </c>
      <c r="AC18" s="902">
        <f t="shared" si="4"/>
        <v>32</v>
      </c>
      <c r="AD18" s="902">
        <f t="shared" si="4"/>
        <v>0</v>
      </c>
      <c r="AE18" s="902">
        <f t="shared" si="4"/>
        <v>0</v>
      </c>
      <c r="AF18" s="902">
        <f t="shared" si="4"/>
        <v>1215</v>
      </c>
      <c r="AG18" s="902">
        <f t="shared" si="4"/>
        <v>0</v>
      </c>
      <c r="AH18" s="902">
        <f t="shared" si="4"/>
        <v>0</v>
      </c>
      <c r="AI18" s="902">
        <f t="shared" si="4"/>
        <v>0</v>
      </c>
      <c r="AJ18" s="902">
        <f t="shared" si="4"/>
        <v>0</v>
      </c>
      <c r="AK18" s="902">
        <f t="shared" si="4"/>
        <v>0</v>
      </c>
      <c r="AL18" s="902">
        <f t="shared" si="4"/>
        <v>0</v>
      </c>
      <c r="AM18" s="902">
        <f t="shared" si="4"/>
        <v>101</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111</v>
      </c>
      <c r="BD18" s="902">
        <f t="shared" si="4"/>
        <v>745</v>
      </c>
      <c r="BE18" s="902">
        <f t="shared" si="4"/>
        <v>0</v>
      </c>
      <c r="BF18" s="902">
        <f t="shared" si="4"/>
        <v>0</v>
      </c>
      <c r="BG18" s="902">
        <f>IF(ISNUMBER(Datos!K18/Datos!J18),Datos!K18/Datos!J18," - ")</f>
        <v>1.0524308865586272</v>
      </c>
      <c r="BH18" s="906">
        <f>IF(ISNUMBER(((Datos!L18/Datos!K18)*11)/factor_trimestre),((Datos!L18/Datos!K18)*11)/factor_trimestre," - ")</f>
        <v>3.3016304347826093</v>
      </c>
      <c r="BI18" s="902">
        <f>SUBTOTAL(9,BI15:BI17)</f>
        <v>0.2277777777777778</v>
      </c>
      <c r="BJ18" s="902">
        <f>SUBTOTAL(9,BJ15:BJ17)</f>
        <v>0</v>
      </c>
      <c r="BK18" s="902">
        <f>SUBTOTAL(9,BK15:BK17)</f>
        <v>0</v>
      </c>
      <c r="BL18" s="902">
        <f>IF(ISNUMBER((I18-AB18+L18)/(F18)),(I18-AB18+L18)/(F18)," - ")</f>
        <v>-0.94439692044482459</v>
      </c>
      <c r="BM18" s="908">
        <f>IF(ISNUMBER((Datos!P18-Datos!Q18)/(Datos!R18-Datos!P18+Datos!Q18)),(Datos!P18-Datos!Q18)/(Datos!R18-Datos!P18+Datos!Q18)," - ")</f>
        <v>0.16091954022988506</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1609.090909090909</v>
      </c>
    </row>
    <row r="19" spans="1:74" ht="18.75" customHeight="1" thickTop="1" thickBot="1">
      <c r="A19" s="175"/>
      <c r="B19" s="175"/>
      <c r="C19" s="821" t="str">
        <f>Datos!A19</f>
        <v>TOTAL JURISDICCIONES</v>
      </c>
      <c r="D19" s="821"/>
      <c r="E19" s="1169">
        <f t="shared" ref="E19:R19" si="6">SUBTOTAL(9,E9:E18)</f>
        <v>6</v>
      </c>
      <c r="F19" s="823">
        <f t="shared" si="6"/>
        <v>1206</v>
      </c>
      <c r="G19" s="823">
        <f t="shared" si="6"/>
        <v>1299</v>
      </c>
      <c r="H19" s="825">
        <f t="shared" si="6"/>
        <v>0</v>
      </c>
      <c r="I19" s="823">
        <f t="shared" si="6"/>
        <v>0</v>
      </c>
      <c r="J19" s="825">
        <f t="shared" si="6"/>
        <v>0</v>
      </c>
      <c r="K19" s="825">
        <f t="shared" si="6"/>
        <v>0</v>
      </c>
      <c r="L19" s="884">
        <f t="shared" si="6"/>
        <v>0</v>
      </c>
      <c r="M19" s="884">
        <f t="shared" si="6"/>
        <v>0</v>
      </c>
      <c r="N19" s="884">
        <f t="shared" si="6"/>
        <v>31</v>
      </c>
      <c r="O19" s="884">
        <f t="shared" si="6"/>
        <v>0</v>
      </c>
      <c r="P19" s="884">
        <f t="shared" si="6"/>
        <v>0</v>
      </c>
      <c r="Q19" s="825">
        <f t="shared" si="6"/>
        <v>266</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1114</v>
      </c>
      <c r="AC19" s="824">
        <f t="shared" si="7"/>
        <v>285</v>
      </c>
      <c r="AD19" s="824">
        <f t="shared" si="7"/>
        <v>0</v>
      </c>
      <c r="AE19" s="824">
        <f t="shared" si="7"/>
        <v>0</v>
      </c>
      <c r="AF19" s="831">
        <f t="shared" si="7"/>
        <v>1252</v>
      </c>
      <c r="AG19" s="831">
        <f t="shared" si="7"/>
        <v>0</v>
      </c>
      <c r="AH19" s="831">
        <f t="shared" si="7"/>
        <v>60</v>
      </c>
      <c r="AI19" s="831">
        <f t="shared" si="7"/>
        <v>0</v>
      </c>
      <c r="AJ19" s="824">
        <f t="shared" si="7"/>
        <v>0</v>
      </c>
      <c r="AK19" s="831">
        <f t="shared" si="7"/>
        <v>0</v>
      </c>
      <c r="AL19" s="831">
        <f t="shared" si="7"/>
        <v>0</v>
      </c>
      <c r="AM19" s="831">
        <f t="shared" si="7"/>
        <v>3021</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331</v>
      </c>
      <c r="BD19" s="823">
        <f t="shared" si="7"/>
        <v>1056</v>
      </c>
      <c r="BE19" s="823">
        <f t="shared" si="7"/>
        <v>0</v>
      </c>
      <c r="BF19" s="833">
        <f t="shared" si="7"/>
        <v>0</v>
      </c>
      <c r="BG19" s="918">
        <f>IF(ISNUMBER(Datos!K19/Datos!J19),Datos!K19/Datos!J19," - ")</f>
        <v>1.056562328390994</v>
      </c>
      <c r="BH19" s="918">
        <f>IF(ISNUMBER(((Datos!L19/Datos!K19)*11)/factor_trimestre),((Datos!L19/Datos!K19)*11)/factor_trimestre," - ")</f>
        <v>6.0202702702702702</v>
      </c>
      <c r="BI19" s="816">
        <f>IF(ISNUMBER(Datos!J19/Datos!I19),Datos!J19/Datos!I19," - ")</f>
        <v>0.46031344792719919</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-0.92371475953565507</v>
      </c>
      <c r="BM19" s="892">
        <f>IF(ISNUMBER((Datos!P19-Datos!Q19+R19)/(Datos!R19-Datos!P19+Datos!Q19-R19)),(Datos!P19-Datos!Q19+R19)/(Datos!R19-Datos!P19+Datos!Q19-R19)," - ")</f>
        <v>-6.2500000000000003E-3</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2919.0000000000005</v>
      </c>
    </row>
    <row r="20" spans="1:74" ht="18.75" customHeight="1" thickTop="1" thickBot="1">
      <c r="A20" s="170"/>
      <c r="B20" s="170"/>
      <c r="C20" s="841" t="s">
        <v>267</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519.6</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268</v>
      </c>
      <c r="D21" s="485"/>
      <c r="E21" s="520">
        <f>IF(ISNUMBER(STDEV(E8:E18)),STDEV(E8:E18),"-")</f>
        <v>1.5811388300841898</v>
      </c>
      <c r="F21" s="554">
        <f>IF(ISNUMBER(STDEV(F8:F18)),STDEV(F8:F18),"-")</f>
        <v>653.56050472265633</v>
      </c>
      <c r="G21" s="555">
        <f>IF(ISNUMBER(STDEV(G8:G18)),STDEV(G8:G18),"-")</f>
        <v>633.16332805998798</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540.49865864773426</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91.567825499280403</v>
      </c>
      <c r="BD21" s="554"/>
      <c r="BE21" s="554">
        <f>IF(ISNUMBER(STDEV(BE8:BE18)),STDEV(BE8:BE18),"-")</f>
        <v>0</v>
      </c>
      <c r="BF21" s="559">
        <f>IF(ISNUMBER(STDEV(BF8:BF18)),STDEV(BF8:BF18),"-")</f>
        <v>0</v>
      </c>
      <c r="BG21" s="778">
        <f>IF(ISNUMBER(STDEV(BG8:BG18)),STDEV(BG8:BG18),"-")</f>
        <v>3.1925623213686367E-2</v>
      </c>
      <c r="BH21" s="779">
        <f>IF(ISNUMBER(STDEV(BH8:BH18)),STDEV(BH8:BH18),"-")</f>
        <v>3.9614333347660646</v>
      </c>
      <c r="BI21" s="252">
        <f>IF(ISNUMBER(STDEV(BI8:BI18)),STDEV(BI8:BI18),"-")</f>
        <v>7.4028601386113571E-2</v>
      </c>
      <c r="BJ21" s="233" t="str">
        <f>IF(ISNUMBER(BL21/BM21),BL21/BM21," - ")</f>
        <v xml:space="preserve"> - </v>
      </c>
      <c r="BK21" s="578"/>
      <c r="BL21" s="562">
        <f>IF(ISNUMBER(STDEV(BL8:BL18)),STDEV(BL8:BL18),"-")</f>
        <v>0.47667952571699906</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506.83041770798405</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428</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265</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266</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07 mar. 2024</v>
      </c>
    </row>
    <row r="32" spans="1:74">
      <c r="C32" s="530"/>
      <c r="D32" s="530"/>
    </row>
  </sheetData>
  <sheetProtection algorithmName="SHA-512" hashValue="Tq2YOSDDLA9v39ZLYInY7h6tVbsi+BOpyLR+OkA6Uz1qPv5QSckenmbz8MVVEYjrxtVwD4dckjJKiofmEBlssA==" saltValue="qmGLJQxTecKUsvlnhz2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2 F15:F17">
    <cfRule type="expression" dxfId="641" priority="701" stopIfTrue="1">
      <formula>IF(F9&lt;&gt;G9,TRUE,FALSE)</formula>
    </cfRule>
  </conditionalFormatting>
  <conditionalFormatting sqref="G10 G15:G17">
    <cfRule type="cellIs" dxfId="640" priority="702" stopIfTrue="1" operator="notBetween">
      <formula>$G$25</formula>
      <formula>$G$26</formula>
    </cfRule>
  </conditionalFormatting>
  <conditionalFormatting sqref="L9:L12 L15:L17">
    <cfRule type="cellIs" dxfId="639" priority="452" stopIfTrue="1" operator="notBetween">
      <formula>$L$25</formula>
      <formula>$L$26</formula>
    </cfRule>
  </conditionalFormatting>
  <conditionalFormatting sqref="O9:O12 O15:O17">
    <cfRule type="cellIs" dxfId="638" priority="450" stopIfTrue="1" operator="notBetween">
      <formula>$O$25</formula>
      <formula>$O$26</formula>
    </cfRule>
  </conditionalFormatting>
  <conditionalFormatting sqref="R9:R12 R15:R17">
    <cfRule type="cellIs" dxfId="637" priority="447" stopIfTrue="1" operator="notBetween">
      <formula>$R$25</formula>
      <formula>$R$26</formula>
    </cfRule>
  </conditionalFormatting>
  <conditionalFormatting sqref="H9:H12 H15:H17">
    <cfRule type="cellIs" dxfId="636" priority="446" stopIfTrue="1" operator="notBetween">
      <formula>$H$25</formula>
      <formula>$H$26</formula>
    </cfRule>
  </conditionalFormatting>
  <conditionalFormatting sqref="T15:T17 T9:T12">
    <cfRule type="cellIs" dxfId="635" priority="445" stopIfTrue="1" operator="notBetween">
      <formula>$T$25</formula>
      <formula>$T$26</formula>
    </cfRule>
  </conditionalFormatting>
  <conditionalFormatting sqref="U9:U12 U15:U17">
    <cfRule type="cellIs" dxfId="634" priority="444" stopIfTrue="1" operator="notBetween">
      <formula>$U$25</formula>
      <formula>$U$26</formula>
    </cfRule>
  </conditionalFormatting>
  <conditionalFormatting sqref="V9:V12 V15:V17">
    <cfRule type="cellIs" dxfId="633" priority="443" stopIfTrue="1" operator="notBetween">
      <formula>$V$25</formula>
      <formula>$V$26</formula>
    </cfRule>
  </conditionalFormatting>
  <conditionalFormatting sqref="Y15:Y17 Y9:Y12">
    <cfRule type="cellIs" dxfId="632" priority="441" stopIfTrue="1" operator="notBetween">
      <formula>$Y$25</formula>
      <formula>$Y$26</formula>
    </cfRule>
  </conditionalFormatting>
  <conditionalFormatting sqref="Z9:Z12 Z15:Z17">
    <cfRule type="cellIs" dxfId="631" priority="439" stopIfTrue="1" operator="notBetween">
      <formula>$Z$25</formula>
      <formula>$Z$26</formula>
    </cfRule>
  </conditionalFormatting>
  <conditionalFormatting sqref="AA9:AA12 AA15:AA17">
    <cfRule type="cellIs" dxfId="630" priority="438" stopIfTrue="1" operator="notBetween">
      <formula>$AA$25</formula>
      <formula>$AA$26</formula>
    </cfRule>
  </conditionalFormatting>
  <conditionalFormatting sqref="AK9:AK12 AK15:AK17">
    <cfRule type="cellIs" dxfId="629" priority="433" stopIfTrue="1" operator="notBetween">
      <formula>$AK$25</formula>
      <formula>$AK$26</formula>
    </cfRule>
  </conditionalFormatting>
  <conditionalFormatting sqref="AL9:AL12 AL15:AL17">
    <cfRule type="cellIs" dxfId="628" priority="432" stopIfTrue="1" operator="notBetween">
      <formula>$AL$25</formula>
      <formula>$AL$26</formula>
    </cfRule>
  </conditionalFormatting>
  <conditionalFormatting sqref="AW9:AW12 AW15:AW17">
    <cfRule type="cellIs" dxfId="627" priority="422" stopIfTrue="1" operator="notBetween">
      <formula>$AW$25</formula>
      <formula>$AW$26</formula>
    </cfRule>
  </conditionalFormatting>
  <conditionalFormatting sqref="AX9:AX12 AX15:AX17">
    <cfRule type="cellIs" dxfId="626" priority="421" stopIfTrue="1" operator="notBetween">
      <formula>$AX$25</formula>
      <formula>$AX$26</formula>
    </cfRule>
  </conditionalFormatting>
  <conditionalFormatting sqref="AY9:AY12 AY15:AY17">
    <cfRule type="cellIs" dxfId="625" priority="420" stopIfTrue="1" operator="notBetween">
      <formula>$AY$25</formula>
      <formula>$AY$26</formula>
    </cfRule>
  </conditionalFormatting>
  <conditionalFormatting sqref="AZ9:AZ12 AZ15:AZ17">
    <cfRule type="cellIs" dxfId="624" priority="419" stopIfTrue="1" operator="notBetween">
      <formula>$AZ$25</formula>
      <formula>$AZ$26</formula>
    </cfRule>
  </conditionalFormatting>
  <conditionalFormatting sqref="BA9:BA12 BA15:BA17">
    <cfRule type="cellIs" dxfId="623" priority="418" stopIfTrue="1" operator="notBetween">
      <formula>$BA$25</formula>
      <formula>$BA$26</formula>
    </cfRule>
  </conditionalFormatting>
  <conditionalFormatting sqref="BB9:BB12 BB15:BB17">
    <cfRule type="cellIs" dxfId="622" priority="417" stopIfTrue="1" operator="notBetween">
      <formula>$BB$25</formula>
      <formula>$BB$26</formula>
    </cfRule>
  </conditionalFormatting>
  <conditionalFormatting sqref="BE9:BE12 BE15:BE17">
    <cfRule type="cellIs" dxfId="621" priority="414" stopIfTrue="1" operator="notBetween">
      <formula>$BE$25</formula>
      <formula>$BE$26</formula>
    </cfRule>
  </conditionalFormatting>
  <conditionalFormatting sqref="BF9:BF12 BF15:BF17">
    <cfRule type="cellIs" dxfId="620" priority="413" stopIfTrue="1" operator="notBetween">
      <formula>$BF$25</formula>
      <formula>$BF$26</formula>
    </cfRule>
  </conditionalFormatting>
  <conditionalFormatting sqref="BI9:BI12 BI15:BI17">
    <cfRule type="cellIs" dxfId="619" priority="410" stopIfTrue="1" operator="notBetween">
      <formula>$BI$25</formula>
      <formula>$BI$26</formula>
    </cfRule>
  </conditionalFormatting>
  <conditionalFormatting sqref="BJ9:BJ12 BJ15:BJ17">
    <cfRule type="cellIs" dxfId="618" priority="409" stopIfTrue="1" operator="notBetween">
      <formula>$BJ$25</formula>
      <formula>$BJ$26</formula>
    </cfRule>
  </conditionalFormatting>
  <conditionalFormatting sqref="BK9:BK12 BK15:BK17">
    <cfRule type="cellIs" dxfId="617" priority="408" stopIfTrue="1" operator="notBetween">
      <formula>$BK$25</formula>
      <formula>$BK$26</formula>
    </cfRule>
  </conditionalFormatting>
  <conditionalFormatting sqref="BM9:BM12 BM15:BM17">
    <cfRule type="cellIs" dxfId="616" priority="406" stopIfTrue="1" operator="notBetween">
      <formula>$BM$25</formula>
      <formula>$BM$26</formula>
    </cfRule>
  </conditionalFormatting>
  <conditionalFormatting sqref="BN9:BN12 BN15:BN17">
    <cfRule type="cellIs" dxfId="615" priority="405" stopIfTrue="1" operator="notBetween">
      <formula>$BN$25</formula>
      <formula>$BN$26</formula>
    </cfRule>
  </conditionalFormatting>
  <conditionalFormatting sqref="BO9:BO12 BO15:BO17">
    <cfRule type="cellIs" dxfId="614" priority="404" stopIfTrue="1" operator="notBetween">
      <formula>$BO$25</formula>
      <formula>$BO$26</formula>
    </cfRule>
  </conditionalFormatting>
  <conditionalFormatting sqref="BQ9:BQ12 BQ15:BQ17">
    <cfRule type="cellIs" dxfId="613" priority="403" stopIfTrue="1" operator="notBetween">
      <formula>$BQ$25</formula>
      <formula>$BQ$26</formula>
    </cfRule>
  </conditionalFormatting>
  <conditionalFormatting sqref="BS9:BS12 BS15:BS17">
    <cfRule type="cellIs" dxfId="612" priority="402" stopIfTrue="1" operator="notBetween">
      <formula>$BS$25</formula>
      <formula>$BS$26</formula>
    </cfRule>
  </conditionalFormatting>
  <conditionalFormatting sqref="Q9:Q12 Q15:Q17">
    <cfRule type="cellIs" dxfId="611" priority="401" stopIfTrue="1" operator="notBetween">
      <formula>$Q$25</formula>
      <formula>$Q$26</formula>
    </cfRule>
  </conditionalFormatting>
  <conditionalFormatting sqref="J15:K17 J9:K12">
    <cfRule type="cellIs" dxfId="610" priority="351" stopIfTrue="1" operator="notBetween">
      <formula>$K$25</formula>
      <formula>$K$26</formula>
    </cfRule>
  </conditionalFormatting>
  <conditionalFormatting sqref="N9:N12 N15:N17">
    <cfRule type="cellIs" dxfId="609" priority="349" stopIfTrue="1" operator="notBetween">
      <formula>$N$25</formula>
      <formula>$N$26</formula>
    </cfRule>
  </conditionalFormatting>
  <conditionalFormatting sqref="AD15:AE17 AD9:AE12">
    <cfRule type="cellIs" dxfId="608" priority="312" stopIfTrue="1" operator="notBetween">
      <formula>$AD$25</formula>
      <formula>$AD$26</formula>
    </cfRule>
  </conditionalFormatting>
  <conditionalFormatting sqref="AH9:AH12 AH15:AH17">
    <cfRule type="cellIs" dxfId="607" priority="310" stopIfTrue="1" operator="notBetween">
      <formula>$AH$25</formula>
      <formula>$AH$26</formula>
    </cfRule>
  </conditionalFormatting>
  <conditionalFormatting sqref="AI15:AJ17 AI9:AJ12">
    <cfRule type="cellIs" dxfId="606" priority="309" stopIfTrue="1" operator="notBetween">
      <formula>$AI$25</formula>
      <formula>$AI$26</formula>
    </cfRule>
  </conditionalFormatting>
  <conditionalFormatting sqref="AR9:AR12 AR15:AR17">
    <cfRule type="cellIs" dxfId="605" priority="308" stopIfTrue="1" operator="notBetween">
      <formula>$AR$25</formula>
      <formula>$AR$26</formula>
    </cfRule>
  </conditionalFormatting>
  <conditionalFormatting sqref="AC9:AC12 AC15:AC17">
    <cfRule type="cellIs" dxfId="604" priority="302" stopIfTrue="1" operator="notBetween">
      <formula>$AC$25</formula>
      <formula>$AC$26</formula>
    </cfRule>
  </conditionalFormatting>
  <conditionalFormatting sqref="E9:E12 E15:E17">
    <cfRule type="cellIs" dxfId="603" priority="297" stopIfTrue="1" operator="notBetween">
      <formula>$E$25</formula>
      <formula>$E$26</formula>
    </cfRule>
  </conditionalFormatting>
  <conditionalFormatting sqref="F9:F12 F15:F17">
    <cfRule type="cellIs" dxfId="602" priority="296" stopIfTrue="1" operator="notBetween">
      <formula>$F$25</formula>
      <formula>$F$26</formula>
    </cfRule>
  </conditionalFormatting>
  <conditionalFormatting sqref="I9:I12 I15:I17">
    <cfRule type="cellIs" dxfId="601" priority="716" stopIfTrue="1" operator="notBetween">
      <formula>$I$25</formula>
      <formula>$I$26</formula>
    </cfRule>
  </conditionalFormatting>
  <conditionalFormatting sqref="AB9:AB12 AB15:AB17">
    <cfRule type="cellIs" dxfId="600" priority="294" stopIfTrue="1" operator="notBetween">
      <formula>$AB$25</formula>
      <formula>$AB$26</formula>
    </cfRule>
  </conditionalFormatting>
  <conditionalFormatting sqref="AF9:AF12 AF15:AF17">
    <cfRule type="cellIs" dxfId="599" priority="293" stopIfTrue="1" operator="notBetween">
      <formula>$AF$25</formula>
      <formula>$AF$26</formula>
    </cfRule>
  </conditionalFormatting>
  <conditionalFormatting sqref="AM9:AM12 AM15:AM17">
    <cfRule type="cellIs" dxfId="598" priority="292" stopIfTrue="1" operator="notBetween">
      <formula>$AM$25</formula>
      <formula>$AM$26</formula>
    </cfRule>
  </conditionalFormatting>
  <conditionalFormatting sqref="AS9:AS12 AS15:AS17">
    <cfRule type="cellIs" dxfId="597" priority="291" stopIfTrue="1" operator="notBetween">
      <formula>$AS$25</formula>
      <formula>$AS$26</formula>
    </cfRule>
  </conditionalFormatting>
  <conditionalFormatting sqref="AT9:AT12 AT15:AT17">
    <cfRule type="cellIs" dxfId="596" priority="290" stopIfTrue="1" operator="notBetween">
      <formula>$AT$25</formula>
      <formula>$AT$26</formula>
    </cfRule>
  </conditionalFormatting>
  <conditionalFormatting sqref="AU9:AU12 AU15:AU17">
    <cfRule type="cellIs" dxfId="595" priority="289" stopIfTrue="1" operator="notBetween">
      <formula>$AU$25</formula>
      <formula>$AU$26</formula>
    </cfRule>
  </conditionalFormatting>
  <conditionalFormatting sqref="AV9:AV12 AV15:AV17">
    <cfRule type="cellIs" dxfId="594" priority="288" stopIfTrue="1" operator="notBetween">
      <formula>$AV$25</formula>
      <formula>$AV$26</formula>
    </cfRule>
  </conditionalFormatting>
  <conditionalFormatting sqref="BD9:BD12 BD15:BD17">
    <cfRule type="cellIs" dxfId="593" priority="287" stopIfTrue="1" operator="notBetween">
      <formula>$BD$25</formula>
      <formula>$BD$26</formula>
    </cfRule>
  </conditionalFormatting>
  <conditionalFormatting sqref="BG9:BG12 BG15:BG17">
    <cfRule type="cellIs" dxfId="592" priority="286" stopIfTrue="1" operator="notBetween">
      <formula>$BG$25</formula>
      <formula>$BG$26</formula>
    </cfRule>
  </conditionalFormatting>
  <conditionalFormatting sqref="BH9:BH12 BH15:BH17">
    <cfRule type="cellIs" dxfId="591" priority="285" stopIfTrue="1" operator="notBetween">
      <formula>$BH$25</formula>
      <formula>$BH$26</formula>
    </cfRule>
  </conditionalFormatting>
  <conditionalFormatting sqref="BL9:BL12 BL15:BL17">
    <cfRule type="cellIs" dxfId="590" priority="284" stopIfTrue="1" operator="notBetween">
      <formula>$BL$25</formula>
      <formula>$BL$26</formula>
    </cfRule>
  </conditionalFormatting>
  <conditionalFormatting sqref="BC9:BC12 BC15:BC17">
    <cfRule type="cellIs" dxfId="589" priority="283" stopIfTrue="1" operator="notBetween">
      <formula>$BC$25</formula>
      <formula>$BC$26</formula>
    </cfRule>
  </conditionalFormatting>
  <conditionalFormatting sqref="I11">
    <cfRule type="cellIs" dxfId="588" priority="2449" stopIfTrue="1" operator="greaterThan">
      <formula>#REF!</formula>
    </cfRule>
    <cfRule type="cellIs" dxfId="587" priority="2450" stopIfTrue="1" operator="lessThan">
      <formula>#REF!</formula>
    </cfRule>
  </conditionalFormatting>
  <conditionalFormatting sqref="I12">
    <cfRule type="cellIs" dxfId="586" priority="2451" stopIfTrue="1" operator="greaterThan">
      <formula>#REF!</formula>
    </cfRule>
    <cfRule type="cellIs" dxfId="585" priority="2452" stopIfTrue="1" operator="lessThan">
      <formula>#REF!</formula>
    </cfRule>
  </conditionalFormatting>
  <conditionalFormatting sqref="BP9:BP12 BP15:BP17">
    <cfRule type="cellIs" dxfId="584" priority="2" stopIfTrue="1" operator="notBetween">
      <formula>$BP$25</formula>
      <formula>$BP$26</formula>
    </cfRule>
  </conditionalFormatting>
  <conditionalFormatting sqref="BR9:BR12 BR15:BR17">
    <cfRule type="cellIs" dxfId="583" priority="1" stopIfTrue="1" operator="notBetween">
      <formula>$BR$25</formula>
      <formula>$BR$26</formula>
    </cfRule>
  </conditionalFormatting>
  <conditionalFormatting sqref="W9">
    <cfRule type="cellIs" dxfId="582" priority="2561" stopIfTrue="1" operator="greaterThan">
      <formula>$BV$9*$E$9</formula>
    </cfRule>
    <cfRule type="cellIs" dxfId="581" priority="2562" stopIfTrue="1" operator="lessThan">
      <formula>$BV$9*$E$9</formula>
    </cfRule>
  </conditionalFormatting>
  <conditionalFormatting sqref="W10">
    <cfRule type="cellIs" dxfId="580" priority="2570" stopIfTrue="1" operator="greaterThan">
      <formula>$BV$10*$E$10</formula>
    </cfRule>
    <cfRule type="cellIs" dxfId="579" priority="2571" stopIfTrue="1" operator="lessThan">
      <formula>$BV$10*$E$10</formula>
    </cfRule>
  </conditionalFormatting>
  <conditionalFormatting sqref="W11">
    <cfRule type="cellIs" dxfId="578" priority="2574" stopIfTrue="1" operator="greaterThan">
      <formula>$BV$11*$E$11</formula>
    </cfRule>
    <cfRule type="cellIs" dxfId="577" priority="2575" stopIfTrue="1" operator="lessThan">
      <formula>$BV$11*$E$11</formula>
    </cfRule>
  </conditionalFormatting>
  <conditionalFormatting sqref="W12">
    <cfRule type="cellIs" dxfId="576" priority="2576" stopIfTrue="1" operator="greaterThan">
      <formula>$BV$12*$E$12</formula>
    </cfRule>
    <cfRule type="cellIs" dxfId="575" priority="2577" stopIfTrue="1" operator="lessThan">
      <formula>$BV$12*$E$12</formula>
    </cfRule>
  </conditionalFormatting>
  <conditionalFormatting sqref="W15">
    <cfRule type="cellIs" dxfId="574" priority="2590" stopIfTrue="1" operator="greaterThan">
      <formula>$BV$15*$E$15</formula>
    </cfRule>
    <cfRule type="cellIs" dxfId="573" priority="2591" stopIfTrue="1" operator="lessThan">
      <formula>$BV$15*$E$15</formula>
    </cfRule>
  </conditionalFormatting>
  <conditionalFormatting sqref="W16">
    <cfRule type="cellIs" dxfId="572" priority="2592" stopIfTrue="1" operator="greaterThan">
      <formula>$BV$16*$E$16</formula>
    </cfRule>
    <cfRule type="cellIs" dxfId="571" priority="2593" stopIfTrue="1" operator="lessThan">
      <formula>$BV$16*$E$16</formula>
    </cfRule>
  </conditionalFormatting>
  <conditionalFormatting sqref="W17">
    <cfRule type="cellIs" dxfId="570" priority="2594" stopIfTrue="1" operator="greaterThan">
      <formula>$BV$17*$E$17</formula>
    </cfRule>
    <cfRule type="cellIs" dxfId="569" priority="2595" stopIfTrue="1" operator="lessThan">
      <formula>$BV$17*$E$17</formula>
    </cfRule>
  </conditionalFormatting>
  <conditionalFormatting sqref="BT9:BT12 BT15:BT17">
    <cfRule type="expression" dxfId="568" priority="4331"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ANDALUCIA</v>
      </c>
    </row>
    <row r="2" spans="1:73" ht="16.5" customHeight="1">
      <c r="C2" s="531" t="str">
        <f>Criterios!A10 &amp;"  "&amp;Criterios!B10 &amp; "  " &amp; IF(NOT(ISBLANK(Criterios!A11)),Criterios!A11 &amp;"  "&amp;Criterios!B11,"")</f>
        <v>Provincias  SEVILLA  Resumenes por Partidos Judiciales  CARMONA</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54" t="s">
        <v>354</v>
      </c>
      <c r="B5" s="275"/>
      <c r="C5" s="1521" t="str">
        <f>"Año:  " &amp;Criterios!B$5 &amp; "          Trimestre   " &amp;Criterios!D$5 &amp; " al " &amp;Criterios!D$6</f>
        <v>Año:  2023          Trimestre   4 al 4</v>
      </c>
      <c r="D5" s="1523" t="s">
        <v>380</v>
      </c>
      <c r="E5" s="1480" t="s">
        <v>564</v>
      </c>
      <c r="F5" s="1491" t="s">
        <v>410</v>
      </c>
      <c r="G5" s="1480" t="s">
        <v>128</v>
      </c>
      <c r="H5" s="1480" t="s">
        <v>594</v>
      </c>
      <c r="I5" s="1480" t="s">
        <v>565</v>
      </c>
      <c r="J5" s="1480" t="s">
        <v>687</v>
      </c>
      <c r="K5" s="1480" t="s">
        <v>566</v>
      </c>
      <c r="L5" s="1480" t="s">
        <v>592</v>
      </c>
      <c r="M5" s="1480" t="s">
        <v>688</v>
      </c>
      <c r="N5" s="1480" t="s">
        <v>591</v>
      </c>
      <c r="O5" s="1480" t="s">
        <v>618</v>
      </c>
      <c r="P5" s="1486" t="s">
        <v>680</v>
      </c>
      <c r="Q5" s="1486" t="s">
        <v>682</v>
      </c>
      <c r="R5" s="1480" t="s">
        <v>598</v>
      </c>
      <c r="S5" s="1480" t="s">
        <v>567</v>
      </c>
      <c r="T5" s="1480" t="s">
        <v>775</v>
      </c>
      <c r="U5" s="1480" t="s">
        <v>776</v>
      </c>
      <c r="V5" s="1500" t="s">
        <v>671</v>
      </c>
      <c r="W5" s="1497" t="s">
        <v>580</v>
      </c>
      <c r="X5" s="1515" t="s">
        <v>581</v>
      </c>
      <c r="Y5" s="1518" t="s">
        <v>599</v>
      </c>
      <c r="Z5" s="1518" t="s">
        <v>619</v>
      </c>
      <c r="AA5" s="1480" t="s">
        <v>571</v>
      </c>
      <c r="AB5" s="1480" t="s">
        <v>582</v>
      </c>
      <c r="AC5" s="1480" t="s">
        <v>583</v>
      </c>
      <c r="AD5" s="1480" t="s">
        <v>537</v>
      </c>
      <c r="AE5" s="1480" t="s">
        <v>689</v>
      </c>
      <c r="AF5" s="1480" t="s">
        <v>184</v>
      </c>
      <c r="AG5" s="1480" t="s">
        <v>584</v>
      </c>
      <c r="AH5" s="1480" t="s">
        <v>572</v>
      </c>
      <c r="AI5" s="1480" t="s">
        <v>573</v>
      </c>
      <c r="AJ5" s="1480" t="s">
        <v>585</v>
      </c>
      <c r="AK5" s="1480" t="s">
        <v>586</v>
      </c>
      <c r="AL5" s="1480" t="s">
        <v>587</v>
      </c>
      <c r="AM5" s="1512" t="s">
        <v>588</v>
      </c>
      <c r="AN5" s="1480" t="s">
        <v>252</v>
      </c>
      <c r="AO5" s="1480" t="s">
        <v>575</v>
      </c>
      <c r="AP5" s="1480" t="s">
        <v>576</v>
      </c>
      <c r="AQ5" s="1480" t="s">
        <v>600</v>
      </c>
      <c r="AR5" s="1480" t="s">
        <v>601</v>
      </c>
      <c r="AS5" s="1480" t="s">
        <v>603</v>
      </c>
      <c r="AT5" s="1480" t="s">
        <v>596</v>
      </c>
      <c r="AU5" s="1480" t="s">
        <v>846</v>
      </c>
      <c r="AV5" s="1480" t="s">
        <v>336</v>
      </c>
      <c r="AW5" s="1480" t="s">
        <v>589</v>
      </c>
      <c r="AX5" s="1480" t="s">
        <v>542</v>
      </c>
      <c r="BU5" s="1480" t="s">
        <v>777</v>
      </c>
    </row>
    <row r="6" spans="1:73" ht="21.75" customHeight="1">
      <c r="A6" s="1255"/>
      <c r="B6" s="276"/>
      <c r="C6" s="1522"/>
      <c r="D6" s="1524"/>
      <c r="E6" s="1481"/>
      <c r="F6" s="1492"/>
      <c r="G6" s="1481"/>
      <c r="H6" s="1481"/>
      <c r="I6" s="1481"/>
      <c r="J6" s="1481"/>
      <c r="K6" s="1481"/>
      <c r="L6" s="1481"/>
      <c r="M6" s="1481"/>
      <c r="N6" s="1481"/>
      <c r="O6" s="1481"/>
      <c r="P6" s="1487"/>
      <c r="Q6" s="1487"/>
      <c r="R6" s="1481"/>
      <c r="S6" s="1481"/>
      <c r="T6" s="1481"/>
      <c r="U6" s="1481"/>
      <c r="V6" s="1501"/>
      <c r="W6" s="1498"/>
      <c r="X6" s="1516"/>
      <c r="Y6" s="1519"/>
      <c r="Z6" s="1519"/>
      <c r="AA6" s="1481"/>
      <c r="AB6" s="1481"/>
      <c r="AC6" s="1481"/>
      <c r="AD6" s="1481"/>
      <c r="AE6" s="1481"/>
      <c r="AF6" s="1481"/>
      <c r="AG6" s="1481"/>
      <c r="AH6" s="1481"/>
      <c r="AI6" s="1481"/>
      <c r="AJ6" s="1481"/>
      <c r="AK6" s="1481"/>
      <c r="AL6" s="1481"/>
      <c r="AM6" s="1513"/>
      <c r="AN6" s="1481"/>
      <c r="AO6" s="1481"/>
      <c r="AP6" s="1481"/>
      <c r="AQ6" s="1481"/>
      <c r="AR6" s="1481"/>
      <c r="AS6" s="1481"/>
      <c r="AT6" s="1481"/>
      <c r="AU6" s="1481"/>
      <c r="AV6" s="1481"/>
      <c r="AW6" s="1481"/>
      <c r="AX6" s="1481"/>
      <c r="BU6" s="1481"/>
    </row>
    <row r="7" spans="1:73" ht="38.25" customHeight="1" thickBot="1">
      <c r="A7" s="1256"/>
      <c r="B7" s="277"/>
      <c r="C7" s="532" t="str">
        <f>Datos!A7</f>
        <v>COMPETENCIAS</v>
      </c>
      <c r="D7" s="1525"/>
      <c r="E7" s="1482"/>
      <c r="F7" s="1493"/>
      <c r="G7" s="1482"/>
      <c r="H7" s="1482"/>
      <c r="I7" s="1482"/>
      <c r="J7" s="1482"/>
      <c r="K7" s="1482"/>
      <c r="L7" s="1482"/>
      <c r="M7" s="1482"/>
      <c r="N7" s="1482"/>
      <c r="O7" s="1482"/>
      <c r="P7" s="1488"/>
      <c r="Q7" s="1488"/>
      <c r="R7" s="1482"/>
      <c r="S7" s="1482"/>
      <c r="T7" s="1482"/>
      <c r="U7" s="1482"/>
      <c r="V7" s="1502"/>
      <c r="W7" s="1499"/>
      <c r="X7" s="1517"/>
      <c r="Y7" s="1520"/>
      <c r="Z7" s="1520"/>
      <c r="AA7" s="1482"/>
      <c r="AB7" s="1482"/>
      <c r="AC7" s="1482"/>
      <c r="AD7" s="1482"/>
      <c r="AE7" s="1482"/>
      <c r="AF7" s="1482"/>
      <c r="AG7" s="1482"/>
      <c r="AH7" s="1482"/>
      <c r="AI7" s="1482"/>
      <c r="AJ7" s="1482"/>
      <c r="AK7" s="1482"/>
      <c r="AL7" s="1482"/>
      <c r="AM7" s="1514"/>
      <c r="AN7" s="1482"/>
      <c r="AO7" s="1482"/>
      <c r="AP7" s="1482"/>
      <c r="AQ7" s="1482"/>
      <c r="AR7" s="1482"/>
      <c r="AS7" s="1482"/>
      <c r="AT7" s="1482"/>
      <c r="AU7" s="1482"/>
      <c r="AV7" s="1482"/>
      <c r="AW7" s="1482"/>
      <c r="AX7" s="1482"/>
      <c r="BU7" s="1482"/>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602</v>
      </c>
      <c r="B9" s="504" t="s">
        <v>249</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327.27272727272731</v>
      </c>
    </row>
    <row r="10" spans="1:73" ht="14.25">
      <c r="A10" s="504">
        <f>Datos!AO10</f>
        <v>1</v>
      </c>
      <c r="B10" s="510" t="s">
        <v>249</v>
      </c>
      <c r="C10" s="7" t="str">
        <f>Datos!A10</f>
        <v>Jdos. Violencia contra la mujer</v>
      </c>
      <c r="D10" s="511"/>
      <c r="E10" s="1171">
        <f>IF(ISNUMBER(Datos!AQ10),Datos!AQ10," - ")</f>
        <v>0</v>
      </c>
      <c r="F10" s="228">
        <f>IF(ISNUMBER(Datos!L10+Datos!K10-Datos!J10),Datos!L10+Datos!K10-Datos!J10," - ")</f>
        <v>37</v>
      </c>
      <c r="G10" s="228">
        <f>IF(ISNUMBER(Datos!I10),Datos!I10," - ")</f>
        <v>37</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0</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10</v>
      </c>
      <c r="Z10" s="622">
        <f>IF(ISNUMBER(Datos!Q10),Datos!Q10," - ")</f>
        <v>0</v>
      </c>
      <c r="AA10" s="335">
        <f>IF(ISNUMBER(Datos!L10),Datos!L10,"-")</f>
        <v>37</v>
      </c>
      <c r="AB10" s="337"/>
      <c r="AC10" s="337"/>
      <c r="AD10" s="487"/>
      <c r="AE10" s="487">
        <f>IF(ISNUMBER(Datos!R10),Datos!R10," - ")</f>
        <v>6</v>
      </c>
      <c r="AF10" s="232" t="str">
        <f>IF(ISNUMBER(Datos!BV10),Datos!BV10," - ")</f>
        <v xml:space="preserve"> - </v>
      </c>
      <c r="AG10" s="228" t="str">
        <f>IF(ISNUMBER(Datos!DV10),Datos!DV10," - ")</f>
        <v xml:space="preserve"> - </v>
      </c>
      <c r="AH10" s="301"/>
      <c r="AI10" s="230"/>
      <c r="AJ10" s="228">
        <f>IF(ISNUMBER(Datos!M10),Datos!M10," - ")</f>
        <v>7</v>
      </c>
      <c r="AK10" s="232">
        <f>IF(ISNUMBER(Datos!N10),Datos!N10," - ")</f>
        <v>1</v>
      </c>
      <c r="AL10" s="232" t="str">
        <f>IF(ISNUMBER(Datos!BW10),Datos!BW10," - ")</f>
        <v xml:space="preserve"> - </v>
      </c>
      <c r="AM10" s="231" t="str">
        <f>IF(ISNUMBER(Datos!BX10),Datos!BX10," - ")</f>
        <v xml:space="preserve"> - </v>
      </c>
      <c r="AN10" s="246"/>
      <c r="AO10" s="263">
        <f>IF(ISNUMBER(((NºAsuntos!I10/NºAsuntos!G10)*11)/factor_trimestre),((NºAsuntos!I10/NºAsuntos!G10)*11)/factor_trimestre," - ")</f>
        <v>11.100000000000001</v>
      </c>
      <c r="AP10" s="233" t="str">
        <f>IF(ISNUMBER(Datos!CI10/Datos!CJ10),Datos!CI10/Datos!CJ10," - ")</f>
        <v xml:space="preserve"> - </v>
      </c>
      <c r="AQ10" s="233" t="str">
        <f>IF(ISNUMBER((I10-Y10+K10)/(F10)),(I10-Y10+K10)/(F10)," - ")</f>
        <v xml:space="preserve"> - </v>
      </c>
      <c r="AR10" s="233">
        <f>IF(ISNUMBER((Datos!P10-Datos!Q10+Datos!DE10)/(Datos!R10-Datos!P10+Datos!Q10-Datos!DE10)),(Datos!P10-Datos!Q10+Datos!DE10)/(Datos!R10-Datos!P10+Datos!Q10-Datos!DE10)," - ")</f>
        <v>0</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436.36363636363637</v>
      </c>
    </row>
    <row r="11" spans="1:73" ht="14.25">
      <c r="A11" s="504">
        <f>Datos!AO11</f>
        <v>0</v>
      </c>
      <c r="B11" s="510" t="s">
        <v>249</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360.81818181818181</v>
      </c>
    </row>
    <row r="12" spans="1:73" ht="15" thickBot="1">
      <c r="A12" s="504">
        <f>Datos!AO12</f>
        <v>3</v>
      </c>
      <c r="B12" s="510" t="s">
        <v>249</v>
      </c>
      <c r="C12" s="7" t="str">
        <f>Datos!A12</f>
        <v xml:space="preserve">Jdos. 1ª Instª. e Instr.                        </v>
      </c>
      <c r="D12" s="511"/>
      <c r="E12" s="1171">
        <f>IF(ISNUMBER(Datos!AQ12),Datos!AQ12," - ")</f>
        <v>3</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220</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253</v>
      </c>
      <c r="AA12" s="335" t="str">
        <f>IF(ISNUMBER(IF(J_V="SI",Datos!L12,Datos!L12+Datos!AB12)-IF(Monitorios="SI",Datos!CD12,0)),
                          IF(J_V="SI",Datos!L12,Datos!L12+Datos!AB12)-IF(Monitorios="SI",Datos!CD12,0),
                          " - ")</f>
        <v xml:space="preserve"> - </v>
      </c>
      <c r="AB12" s="337"/>
      <c r="AC12" s="337"/>
      <c r="AD12" s="487"/>
      <c r="AE12" s="487">
        <f>IF(ISNUMBER(Datos!R12),Datos!R12," - ")</f>
        <v>2914</v>
      </c>
      <c r="AF12" s="232" t="str">
        <f>IF(ISNUMBER(Datos!BV12),Datos!BV12," - ")</f>
        <v xml:space="preserve"> - </v>
      </c>
      <c r="AG12" s="228" t="str">
        <f>IF(ISNUMBER(Datos!DV12),Datos!DV12," - ")</f>
        <v xml:space="preserve"> - </v>
      </c>
      <c r="AH12" s="301"/>
      <c r="AI12" s="230"/>
      <c r="AJ12" s="228">
        <f>IF(ISNUMBER(Datos!M12),Datos!M12," - ")</f>
        <v>213</v>
      </c>
      <c r="AK12" s="232">
        <f>IF(ISNUMBER(Datos!N12),Datos!N12," - ")</f>
        <v>310</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9.1823394495412867</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-1.1197828299966068E-2</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185.45454545454547</v>
      </c>
    </row>
    <row r="13" spans="1:73" ht="15.75" thickTop="1" thickBot="1">
      <c r="A13" s="181"/>
      <c r="B13" s="181"/>
      <c r="C13" s="866" t="str">
        <f>Datos!A13</f>
        <v>TOTAL</v>
      </c>
      <c r="D13" s="866"/>
      <c r="E13" s="901">
        <f>SUBTOTAL(9,E8:E12)</f>
        <v>3</v>
      </c>
      <c r="F13" s="901">
        <f>SUBTOTAL(9,F8:F12)</f>
        <v>37</v>
      </c>
      <c r="G13" s="901">
        <f>SUBTOTAL(9,G8:G12)</f>
        <v>37</v>
      </c>
      <c r="H13" s="911"/>
      <c r="I13" s="901">
        <f t="shared" ref="I13:N13" si="0">SUBTOTAL(9,I8:I12)</f>
        <v>0</v>
      </c>
      <c r="J13" s="870">
        <f t="shared" si="0"/>
        <v>0</v>
      </c>
      <c r="K13" s="911">
        <f t="shared" si="0"/>
        <v>0</v>
      </c>
      <c r="L13" s="911">
        <f t="shared" si="0"/>
        <v>0</v>
      </c>
      <c r="M13" s="911">
        <f t="shared" si="0"/>
        <v>0</v>
      </c>
      <c r="N13" s="911">
        <f t="shared" si="0"/>
        <v>220</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10</v>
      </c>
      <c r="Z13" s="910">
        <f t="shared" si="2"/>
        <v>253</v>
      </c>
      <c r="AA13" s="903">
        <f t="shared" si="2"/>
        <v>37</v>
      </c>
      <c r="AB13" s="903">
        <f t="shared" si="2"/>
        <v>0</v>
      </c>
      <c r="AC13" s="903">
        <f t="shared" si="2"/>
        <v>0</v>
      </c>
      <c r="AD13" s="903">
        <f t="shared" si="2"/>
        <v>0</v>
      </c>
      <c r="AE13" s="903">
        <f t="shared" si="2"/>
        <v>2920</v>
      </c>
      <c r="AF13" s="911">
        <f t="shared" si="2"/>
        <v>0</v>
      </c>
      <c r="AG13" s="911">
        <f t="shared" si="2"/>
        <v>0</v>
      </c>
      <c r="AH13" s="911">
        <f t="shared" si="2"/>
        <v>0</v>
      </c>
      <c r="AI13" s="911">
        <f t="shared" si="2"/>
        <v>0</v>
      </c>
      <c r="AJ13" s="911">
        <f t="shared" si="2"/>
        <v>220</v>
      </c>
      <c r="AK13" s="911">
        <f t="shared" si="2"/>
        <v>311</v>
      </c>
      <c r="AL13" s="911">
        <f t="shared" si="2"/>
        <v>0</v>
      </c>
      <c r="AM13" s="911">
        <f t="shared" si="2"/>
        <v>0</v>
      </c>
      <c r="AN13" s="911">
        <f t="shared" si="2"/>
        <v>0</v>
      </c>
      <c r="AO13" s="907">
        <f>IF(ISNUMBER(((NºAsuntos!I13/NºAsuntos!G13)*11)/factor_trimestre),((NºAsuntos!I13/NºAsuntos!G13)*11)/factor_trimestre," - ")</f>
        <v>9.204081632653061</v>
      </c>
      <c r="AP13" s="913" t="str">
        <f>IF(ISNUMBER(Datos!CI13/Datos!CJ13),Datos!CI13/Datos!CJ13," - ")</f>
        <v xml:space="preserve"> - </v>
      </c>
      <c r="AQ13" s="931">
        <f t="shared" ref="AQ13:AV13" si="3">SUBTOTAL(9,AQ9:AQ12)</f>
        <v>0</v>
      </c>
      <c r="AR13" s="931">
        <f t="shared" si="3"/>
        <v>-1.1197828299966068E-2</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400</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900</v>
      </c>
    </row>
    <row r="16" spans="1:73" ht="14.25">
      <c r="A16" s="504">
        <f>Datos!AO16</f>
        <v>3</v>
      </c>
      <c r="B16" s="510" t="s">
        <v>400</v>
      </c>
      <c r="C16" s="163" t="str">
        <f>Datos!A16</f>
        <v xml:space="preserve">Jdos. 1ª Instª. e Instr.                        </v>
      </c>
      <c r="D16" s="505"/>
      <c r="E16" s="1171">
        <f>IF(ISNUMBER(Datos!AQ16),Datos!AQ16," - ")</f>
        <v>3</v>
      </c>
      <c r="F16" s="336">
        <f>IF(ISNUMBER(AA16+Y16-Datos!J16-K15),AA16+Y16-Datos!J16-K15," - ")</f>
        <v>1169</v>
      </c>
      <c r="G16" s="228">
        <f>IF(ISNUMBER(IF(D_I="SI",Datos!I16,Datos!I16+Datos!AC16)),IF(D_I="SI",Datos!I16,Datos!I16+Datos!AC16)," - ")</f>
        <v>1161</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42</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960</v>
      </c>
      <c r="Z16" s="622">
        <f>IF(ISNUMBER(Datos!Q16),Datos!Q16," - ")</f>
        <v>26</v>
      </c>
      <c r="AA16" s="335">
        <f>IF(ISNUMBER(IF(D_I="SI",Datos!L16,Datos!L16+Datos!AF16)),IF(D_I="SI",Datos!L16,Datos!L16+Datos!AF16)," - ")</f>
        <v>1122</v>
      </c>
      <c r="AB16" s="337"/>
      <c r="AC16" s="337"/>
      <c r="AD16" s="487"/>
      <c r="AE16" s="487">
        <f>IF(ISNUMBER(Datos!R16),Datos!R16," - ")</f>
        <v>97</v>
      </c>
      <c r="AF16" s="232" t="str">
        <f>IF(ISNUMBER(Datos!BV16),Datos!BV16," - ")</f>
        <v xml:space="preserve"> - </v>
      </c>
      <c r="AG16" s="228"/>
      <c r="AH16" s="301"/>
      <c r="AI16" s="230"/>
      <c r="AJ16" s="228">
        <f>IF(ISNUMBER(Datos!M16),Datos!M16," - ")</f>
        <v>92</v>
      </c>
      <c r="AK16" s="232">
        <f>IF(ISNUMBER(Datos!N16),Datos!N16," - ")</f>
        <v>657</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3.5062500000000001</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272.72727272727275</v>
      </c>
    </row>
    <row r="17" spans="1:73" ht="15" thickBot="1">
      <c r="A17" s="504">
        <f>Datos!AO17</f>
        <v>1</v>
      </c>
      <c r="B17" s="510" t="s">
        <v>400</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101</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4</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144</v>
      </c>
      <c r="Z17" s="622">
        <f>IF(ISNUMBER(Datos!Q17),Datos!Q17," - ")</f>
        <v>6</v>
      </c>
      <c r="AA17" s="335">
        <f>IF(ISNUMBER(Datos!L17),Datos!L17,"-")</f>
        <v>93</v>
      </c>
      <c r="AB17" s="337"/>
      <c r="AC17" s="337"/>
      <c r="AD17" s="487"/>
      <c r="AE17" s="487">
        <f>IF(ISNUMBER(Datos!R17),Datos!R17," - ")</f>
        <v>4</v>
      </c>
      <c r="AF17" s="232" t="str">
        <f>IF(ISNUMBER(Datos!BV17),Datos!BV17," - ")</f>
        <v xml:space="preserve"> - </v>
      </c>
      <c r="AG17" s="228" t="str">
        <f>IF(ISNUMBER(Datos!DV17),Datos!DV17," - ")</f>
        <v xml:space="preserve"> - </v>
      </c>
      <c r="AH17" s="301"/>
      <c r="AI17" s="230"/>
      <c r="AJ17" s="228">
        <f>IF(ISNUMBER(Datos!M17),Datos!M17," - ")</f>
        <v>19</v>
      </c>
      <c r="AK17" s="232">
        <f>IF(ISNUMBER(Datos!N17),Datos!N17," - ")</f>
        <v>88</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1.9375000000000002</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436.36363636363637</v>
      </c>
    </row>
    <row r="18" spans="1:73" ht="15.75" thickTop="1" thickBot="1">
      <c r="A18" s="181"/>
      <c r="B18" s="181"/>
      <c r="C18" s="866" t="str">
        <f>Datos!A18</f>
        <v>TOTAL</v>
      </c>
      <c r="D18" s="866"/>
      <c r="E18" s="1172">
        <f>SUBTOTAL(9,E15:E17)</f>
        <v>3</v>
      </c>
      <c r="F18" s="901">
        <f>SUBTOTAL(9,F15:F17)</f>
        <v>1169</v>
      </c>
      <c r="G18" s="901">
        <f>SUBTOTAL(9,G15:G17)</f>
        <v>1262</v>
      </c>
      <c r="H18" s="935">
        <f>SUBTOTAL(9,H15:H17)</f>
        <v>0</v>
      </c>
      <c r="I18" s="914">
        <f>SUBTOTAL(9,I15:I17)</f>
        <v>0</v>
      </c>
      <c r="J18" s="870">
        <f>SUBTOTAL(9,J14:J17)</f>
        <v>0</v>
      </c>
      <c r="K18" s="935">
        <f t="shared" ref="K18:S18" si="4">SUBTOTAL(9,K15:K17)</f>
        <v>0</v>
      </c>
      <c r="L18" s="935">
        <f t="shared" si="4"/>
        <v>0</v>
      </c>
      <c r="M18" s="935">
        <f t="shared" si="4"/>
        <v>0</v>
      </c>
      <c r="N18" s="935">
        <f t="shared" si="4"/>
        <v>46</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1104</v>
      </c>
      <c r="Z18" s="935">
        <f t="shared" si="5"/>
        <v>32</v>
      </c>
      <c r="AA18" s="935">
        <f t="shared" si="5"/>
        <v>1215</v>
      </c>
      <c r="AB18" s="935">
        <f t="shared" si="5"/>
        <v>0</v>
      </c>
      <c r="AC18" s="935">
        <f t="shared" si="5"/>
        <v>0</v>
      </c>
      <c r="AD18" s="935">
        <f t="shared" si="5"/>
        <v>0</v>
      </c>
      <c r="AE18" s="935">
        <f t="shared" si="5"/>
        <v>101</v>
      </c>
      <c r="AF18" s="935">
        <f t="shared" si="5"/>
        <v>0</v>
      </c>
      <c r="AG18" s="935">
        <f t="shared" si="5"/>
        <v>0</v>
      </c>
      <c r="AH18" s="935">
        <f t="shared" si="5"/>
        <v>0</v>
      </c>
      <c r="AI18" s="935">
        <f t="shared" si="5"/>
        <v>0</v>
      </c>
      <c r="AJ18" s="935">
        <f t="shared" si="5"/>
        <v>111</v>
      </c>
      <c r="AK18" s="935">
        <f t="shared" si="5"/>
        <v>745</v>
      </c>
      <c r="AL18" s="935">
        <f t="shared" si="5"/>
        <v>0</v>
      </c>
      <c r="AM18" s="935">
        <f t="shared" si="5"/>
        <v>0</v>
      </c>
      <c r="AN18" s="935">
        <f t="shared" si="5"/>
        <v>0</v>
      </c>
      <c r="AO18" s="937">
        <f>IF(ISNUMBER(((NºAsuntos!I18/NºAsuntos!G18)*11)/factor_trimestre),((NºAsuntos!I18/NºAsuntos!G18)*11)/factor_trimestre," - ")</f>
        <v>3.3016304347826093</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6</v>
      </c>
      <c r="F19" s="823">
        <f t="shared" si="7"/>
        <v>1206</v>
      </c>
      <c r="G19" s="823">
        <f t="shared" si="7"/>
        <v>1299</v>
      </c>
      <c r="H19" s="824">
        <f t="shared" si="7"/>
        <v>0</v>
      </c>
      <c r="I19" s="823">
        <f t="shared" si="7"/>
        <v>0</v>
      </c>
      <c r="J19" s="825">
        <f t="shared" si="7"/>
        <v>0</v>
      </c>
      <c r="K19" s="823">
        <f t="shared" si="7"/>
        <v>0</v>
      </c>
      <c r="L19" s="826">
        <f t="shared" si="7"/>
        <v>0</v>
      </c>
      <c r="M19" s="823">
        <f t="shared" si="7"/>
        <v>0</v>
      </c>
      <c r="N19" s="824">
        <f t="shared" si="7"/>
        <v>266</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1114</v>
      </c>
      <c r="Z19" s="830">
        <f t="shared" si="8"/>
        <v>285</v>
      </c>
      <c r="AA19" s="831">
        <f t="shared" si="8"/>
        <v>1252</v>
      </c>
      <c r="AB19" s="831">
        <f t="shared" si="8"/>
        <v>0</v>
      </c>
      <c r="AC19" s="831">
        <f t="shared" si="8"/>
        <v>0</v>
      </c>
      <c r="AD19" s="832">
        <f t="shared" si="8"/>
        <v>0</v>
      </c>
      <c r="AE19" s="832">
        <f t="shared" si="8"/>
        <v>3021</v>
      </c>
      <c r="AF19" s="833">
        <f t="shared" si="8"/>
        <v>0</v>
      </c>
      <c r="AG19" s="834">
        <f t="shared" si="8"/>
        <v>0</v>
      </c>
      <c r="AH19" s="835">
        <f t="shared" si="8"/>
        <v>0</v>
      </c>
      <c r="AI19" s="833">
        <f t="shared" si="8"/>
        <v>0</v>
      </c>
      <c r="AJ19" s="823">
        <f t="shared" si="8"/>
        <v>331</v>
      </c>
      <c r="AK19" s="823">
        <f t="shared" si="8"/>
        <v>1056</v>
      </c>
      <c r="AL19" s="823">
        <f t="shared" si="8"/>
        <v>0</v>
      </c>
      <c r="AM19" s="836">
        <f t="shared" si="8"/>
        <v>0</v>
      </c>
      <c r="AN19" s="826">
        <f>IF(ISNUMBER(Datos!K19/Datos!J19),Datos!K19/Datos!J19," - ")</f>
        <v>1.056562328390994</v>
      </c>
      <c r="AO19" s="826">
        <f>IF(ISNUMBER(FIND("06",Criterios!A8,1)),(IF(ISNUMBER(((Datos!R19/Datos!Q19)*11)/factor_trimestre),((Datos!R19/Datos!Q19)*11)/factor_trimestre," - ")),(IF(ISNUMBER(((Datos!L19/Datos!K19)*11)/factor_trimestre),((Datos!L19/Datos!K19)*11)/factor_trimestre," - ")))</f>
        <v>6.0202702702702702</v>
      </c>
      <c r="AP19" s="837" t="str">
        <f>IF(ISNUMBER(Datos!CI19/Datos!CJ19),Datos!CI19/Datos!CJ19," - ")</f>
        <v xml:space="preserve"> - </v>
      </c>
      <c r="AQ19" s="837">
        <f>IF(OR(ISNUMBER(FIND("01",Criterios!A8,1)),ISNUMBER(FIND("02",Criterios!A8,1)),ISNUMBER(FIND("03",Criterios!A8,1)),ISNUMBER(FIND("04",Criterios!A8,1))),(J19-Y19+K19)/(F19-K19),(I19-Y19+K19)/(F19-K19))</f>
        <v>-0.92371475953565507</v>
      </c>
      <c r="AR19" s="837">
        <f>IF(ISNUMBER((Datos!P19-Datos!Q19+O19)/(Datos!R19-Datos!P19+Datos!Q19-O19)),(Datos!P19-Datos!Q19+O19)/(Datos!R19-Datos!P19+Datos!Q19-O19)," - ")</f>
        <v>-6.2500000000000003E-3</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267</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519.6</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268</v>
      </c>
      <c r="D21" s="344"/>
      <c r="E21" s="583"/>
      <c r="F21" s="255">
        <f>IF(ISNUMBER(STDEV(F8:F18)),STDEV(F8:F18),"-")</f>
        <v>653.56050472265633</v>
      </c>
      <c r="G21" s="555">
        <f>IF(ISNUMBER(STDEV(G8:G18)),STDEV(G8:G18),"-")</f>
        <v>633.16332805998798</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91.567825499280403</v>
      </c>
      <c r="AK21" s="255"/>
      <c r="AL21" s="255">
        <f>IF(ISNUMBER(STDEV(AL8:AL18)),STDEV(AL8:AL18),"-")</f>
        <v>0</v>
      </c>
      <c r="AM21" s="257">
        <f>IF(ISNUMBER(STDEV(AM8:AM18)),STDEV(AM8:AM18),"-")</f>
        <v>0</v>
      </c>
      <c r="AN21" s="542">
        <f>IF(ISNUMBER(STDEV(AN8:AN18)),STDEV(AN8:AN18),"-")</f>
        <v>0</v>
      </c>
      <c r="AO21" s="543">
        <f>IF(ISNUMBER(STDEV(AO8:AO18)),STDEV(AO8:AO18),"-")</f>
        <v>3.8878570130241732</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230.82251419185957</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265</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266</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07 mar. 2024</v>
      </c>
    </row>
    <row r="32" spans="1:73" ht="13.5" thickBot="1">
      <c r="C32" s="539"/>
      <c r="D32" s="530"/>
      <c r="E32" s="530"/>
    </row>
    <row r="33" spans="12:12" ht="15" thickBot="1">
      <c r="L33" s="549"/>
    </row>
  </sheetData>
  <sheetProtection algorithmName="SHA-512" hashValue="epCI0wrwVskbMdjHhVDZjPxquIokgJ2/P3NQh/wPJvZLS/js7REXLcP0ke/cpxKra+dHcjxLno5lq4XekWlRCA==" saltValue="PmfgOaq2U4I4bc3dnDNv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2 AO14:AO18">
    <cfRule type="cellIs" dxfId="567" priority="690" stopIfTrue="1" operator="notBetween">
      <formula>$AO$25</formula>
      <formula>$AO$26</formula>
    </cfRule>
  </conditionalFormatting>
  <conditionalFormatting sqref="G10">
    <cfRule type="cellIs" dxfId="566" priority="535" stopIfTrue="1" operator="notBetween">
      <formula>$G$25</formula>
      <formula>$G$26</formula>
    </cfRule>
  </conditionalFormatting>
  <conditionalFormatting sqref="F21:F24 F9:F18">
    <cfRule type="expression" dxfId="565" priority="393" stopIfTrue="1">
      <formula>IF(F9&lt;&gt;G9,TRUE,FALSE)</formula>
    </cfRule>
  </conditionalFormatting>
  <conditionalFormatting sqref="G18 G13">
    <cfRule type="expression" dxfId="564" priority="2259" stopIfTrue="1">
      <formula>IF($G$9&lt;&gt;$F$9,TRUE,FALSE)</formula>
    </cfRule>
  </conditionalFormatting>
  <conditionalFormatting sqref="L15:L17">
    <cfRule type="cellIs" dxfId="563" priority="526" stopIfTrue="1" operator="notBetween">
      <formula>$L$25</formula>
      <formula>$L$26</formula>
    </cfRule>
  </conditionalFormatting>
  <conditionalFormatting sqref="I15:I17 I9:I10">
    <cfRule type="cellIs" dxfId="562" priority="466" stopIfTrue="1" operator="notBetween">
      <formula>$I$25</formula>
      <formula>$I$26</formula>
    </cfRule>
  </conditionalFormatting>
  <conditionalFormatting sqref="K9:K12 K15:K17">
    <cfRule type="cellIs" dxfId="561" priority="465" stopIfTrue="1" operator="notBetween">
      <formula>$K$25</formula>
      <formula>$K$26</formula>
    </cfRule>
  </conditionalFormatting>
  <conditionalFormatting sqref="M9:M12 M15:M17">
    <cfRule type="cellIs" dxfId="560" priority="464" stopIfTrue="1" operator="notBetween">
      <formula>$M$25</formula>
      <formula>$M$26</formula>
    </cfRule>
  </conditionalFormatting>
  <conditionalFormatting sqref="W9:W12 W15:W17">
    <cfRule type="cellIs" dxfId="559" priority="445" stopIfTrue="1" operator="notBetween">
      <formula>$W$25</formula>
      <formula>$W$26</formula>
    </cfRule>
  </conditionalFormatting>
  <conditionalFormatting sqref="X9:X12 X15:X17">
    <cfRule type="cellIs" dxfId="558" priority="444" stopIfTrue="1" operator="notBetween">
      <formula>$X$25</formula>
      <formula>$X$26</formula>
    </cfRule>
  </conditionalFormatting>
  <conditionalFormatting sqref="Y9:Y12 Y15:Y17">
    <cfRule type="cellIs" dxfId="557" priority="443" stopIfTrue="1" operator="notBetween">
      <formula>$Y$25</formula>
      <formula>$Y$26</formula>
    </cfRule>
  </conditionalFormatting>
  <conditionalFormatting sqref="Z9:Z12 Z15:Z17">
    <cfRule type="cellIs" dxfId="556" priority="442" stopIfTrue="1" operator="notBetween">
      <formula>$Z$25</formula>
      <formula>$Z$26</formula>
    </cfRule>
  </conditionalFormatting>
  <conditionalFormatting sqref="AB9:AB12 AB15:AB17">
    <cfRule type="cellIs" dxfId="555" priority="441" stopIfTrue="1" operator="notBetween">
      <formula>$AB$25</formula>
      <formula>$AB$26</formula>
    </cfRule>
  </conditionalFormatting>
  <conditionalFormatting sqref="AC9:AC12 AC15:AC17">
    <cfRule type="cellIs" dxfId="554" priority="440" stopIfTrue="1" operator="notBetween">
      <formula>$AC$25</formula>
      <formula>$AC$26</formula>
    </cfRule>
  </conditionalFormatting>
  <conditionalFormatting sqref="AD9:AD12 AD15:AD17">
    <cfRule type="cellIs" dxfId="553" priority="438" stopIfTrue="1" operator="notBetween">
      <formula>$AD$25</formula>
      <formula>$AD$26</formula>
    </cfRule>
  </conditionalFormatting>
  <conditionalFormatting sqref="AE9:AE12 AE15:AE17">
    <cfRule type="cellIs" dxfId="552" priority="437" stopIfTrue="1" operator="notBetween">
      <formula>$AE$25</formula>
      <formula>$AE$26</formula>
    </cfRule>
  </conditionalFormatting>
  <conditionalFormatting sqref="AF9:AF12 AF15:AF17">
    <cfRule type="cellIs" dxfId="551" priority="436" stopIfTrue="1" operator="notBetween">
      <formula>$AF$25</formula>
      <formula>$AF$26</formula>
    </cfRule>
  </conditionalFormatting>
  <conditionalFormatting sqref="AG9:AG12 AG15:AG17">
    <cfRule type="cellIs" dxfId="550" priority="435" stopIfTrue="1" operator="notBetween">
      <formula>$AG$25</formula>
      <formula>$AG$26</formula>
    </cfRule>
  </conditionalFormatting>
  <conditionalFormatting sqref="AH9:AH12 AH15:AH17">
    <cfRule type="cellIs" dxfId="549" priority="434" stopIfTrue="1" operator="notBetween">
      <formula>$AH$25</formula>
      <formula>$AH$26</formula>
    </cfRule>
  </conditionalFormatting>
  <conditionalFormatting sqref="AI9:AI12 AI15:AI17">
    <cfRule type="cellIs" dxfId="548" priority="433" stopIfTrue="1" operator="notBetween">
      <formula>$AI$25</formula>
      <formula>$AI$26</formula>
    </cfRule>
  </conditionalFormatting>
  <conditionalFormatting sqref="AJ9:AJ12 AJ15:AJ17">
    <cfRule type="cellIs" dxfId="547" priority="432" stopIfTrue="1" operator="notBetween">
      <formula>$AJ$25</formula>
      <formula>$AJ$26</formula>
    </cfRule>
  </conditionalFormatting>
  <conditionalFormatting sqref="AK9:AK12 AK15:AK17">
    <cfRule type="cellIs" dxfId="546" priority="431" stopIfTrue="1" operator="notBetween">
      <formula>$AK$25</formula>
      <formula>$AK$26</formula>
    </cfRule>
  </conditionalFormatting>
  <conditionalFormatting sqref="AL9:AL12 AL15:AL17">
    <cfRule type="cellIs" dxfId="545" priority="430" stopIfTrue="1" operator="notBetween">
      <formula>$AL$25</formula>
      <formula>$AL$26</formula>
    </cfRule>
  </conditionalFormatting>
  <conditionalFormatting sqref="AM9:AM12 AM15:AM17">
    <cfRule type="cellIs" dxfId="544" priority="429" stopIfTrue="1" operator="notBetween">
      <formula>$AM$25</formula>
      <formula>$AM$26</formula>
    </cfRule>
  </conditionalFormatting>
  <conditionalFormatting sqref="AN9:AN12 AN15:AN17">
    <cfRule type="cellIs" dxfId="543" priority="428" stopIfTrue="1" operator="notBetween">
      <formula>$AN$25</formula>
      <formula>$AN$26</formula>
    </cfRule>
  </conditionalFormatting>
  <conditionalFormatting sqref="AP9:AP12 AP15:AP17">
    <cfRule type="cellIs" dxfId="542" priority="427" stopIfTrue="1" operator="notBetween">
      <formula>$AP$25</formula>
      <formula>$AP$26</formula>
    </cfRule>
  </conditionalFormatting>
  <conditionalFormatting sqref="AQ9:AQ12 AQ15:AQ17">
    <cfRule type="cellIs" dxfId="541" priority="426" stopIfTrue="1" operator="notBetween">
      <formula>$AQ$25</formula>
      <formula>$AQ$26</formula>
    </cfRule>
  </conditionalFormatting>
  <conditionalFormatting sqref="AR9:AR12 AR15:AR17">
    <cfRule type="cellIs" dxfId="540" priority="425" stopIfTrue="1" operator="notBetween">
      <formula>$AR$25</formula>
      <formula>$AR$26</formula>
    </cfRule>
  </conditionalFormatting>
  <conditionalFormatting sqref="AS9:AS12 AS15:AS17">
    <cfRule type="cellIs" dxfId="539" priority="424" stopIfTrue="1" operator="notBetween">
      <formula>$AS$25</formula>
      <formula>$AS$26</formula>
    </cfRule>
  </conditionalFormatting>
  <conditionalFormatting sqref="AT9:AT12 AT15:AT17">
    <cfRule type="cellIs" dxfId="538" priority="423" stopIfTrue="1" operator="notBetween">
      <formula>$AT$25</formula>
      <formula>$AT$26</formula>
    </cfRule>
  </conditionalFormatting>
  <conditionalFormatting sqref="AV9:AV12 AV15:AV17">
    <cfRule type="cellIs" dxfId="537" priority="422" stopIfTrue="1" operator="notBetween">
      <formula>$AV$25</formula>
      <formula>$AV$26</formula>
    </cfRule>
  </conditionalFormatting>
  <conditionalFormatting sqref="N9:N12 N15:N17">
    <cfRule type="cellIs" dxfId="536" priority="421" stopIfTrue="1" operator="notBetween">
      <formula>$N$25</formula>
      <formula>$N$26</formula>
    </cfRule>
  </conditionalFormatting>
  <conditionalFormatting sqref="O15:O17 O9:O12">
    <cfRule type="cellIs" dxfId="535" priority="420" stopIfTrue="1" operator="notBetween">
      <formula>$O$25</formula>
      <formula>$O$26</formula>
    </cfRule>
  </conditionalFormatting>
  <conditionalFormatting sqref="H9:H12 H15:H17">
    <cfRule type="cellIs" dxfId="534" priority="418" stopIfTrue="1" operator="notBetween">
      <formula>$H$25</formula>
      <formula>$H$26</formula>
    </cfRule>
  </conditionalFormatting>
  <conditionalFormatting sqref="P9:P12 P15:P17">
    <cfRule type="cellIs" dxfId="533" priority="416" stopIfTrue="1" operator="notBetween">
      <formula>$P$25</formula>
      <formula>$P$26</formula>
    </cfRule>
  </conditionalFormatting>
  <conditionalFormatting sqref="Q9:Q12 Q15:Q17">
    <cfRule type="cellIs" dxfId="532" priority="415" stopIfTrue="1" operator="notBetween">
      <formula>$Q$25</formula>
      <formula>$Q$26</formula>
    </cfRule>
  </conditionalFormatting>
  <conditionalFormatting sqref="R9:R12 R15:R17">
    <cfRule type="cellIs" dxfId="531" priority="414" stopIfTrue="1" operator="notBetween">
      <formula>$R$25</formula>
      <formula>$R$26</formula>
    </cfRule>
  </conditionalFormatting>
  <conditionalFormatting sqref="S9:S12 S15:S17">
    <cfRule type="cellIs" dxfId="530" priority="413" stopIfTrue="1" operator="notBetween">
      <formula>$S$25</formula>
      <formula>$S$26</formula>
    </cfRule>
  </conditionalFormatting>
  <conditionalFormatting sqref="F9:F12 F15:F17">
    <cfRule type="cellIs" dxfId="529" priority="2257" stopIfTrue="1" operator="notBetween">
      <formula>$F$25</formula>
      <formula>$F$26</formula>
    </cfRule>
  </conditionalFormatting>
  <conditionalFormatting sqref="AA9:AA12 AA15:AA17">
    <cfRule type="cellIs" dxfId="528" priority="388" stopIfTrue="1" operator="notBetween">
      <formula>$AA$25</formula>
      <formula>$AA$26</formula>
    </cfRule>
  </conditionalFormatting>
  <conditionalFormatting sqref="V9:V12 V15:V17">
    <cfRule type="cellIs" dxfId="527" priority="351" stopIfTrue="1" operator="notBetween">
      <formula>$V$25</formula>
      <formula>$V$26</formula>
    </cfRule>
  </conditionalFormatting>
  <conditionalFormatting sqref="I11">
    <cfRule type="cellIs" dxfId="526" priority="2551" stopIfTrue="1" operator="greaterThan">
      <formula>#REF!</formula>
    </cfRule>
    <cfRule type="cellIs" dxfId="525" priority="2552" stopIfTrue="1" operator="lessThan">
      <formula>#REF!</formula>
    </cfRule>
  </conditionalFormatting>
  <conditionalFormatting sqref="I12">
    <cfRule type="cellIs" dxfId="524" priority="2553" stopIfTrue="1" operator="greaterThan">
      <formula>#REF!</formula>
    </cfRule>
    <cfRule type="cellIs" dxfId="523" priority="2554" stopIfTrue="1" operator="lessThan">
      <formula>#REF!</formula>
    </cfRule>
  </conditionalFormatting>
  <conditionalFormatting sqref="T9">
    <cfRule type="cellIs" dxfId="522" priority="167" stopIfTrue="1" operator="greaterThan">
      <formula>$BU$9</formula>
    </cfRule>
    <cfRule type="cellIs" dxfId="521" priority="168" stopIfTrue="1" operator="lessThan">
      <formula>$BU$9</formula>
    </cfRule>
  </conditionalFormatting>
  <conditionalFormatting sqref="T10">
    <cfRule type="cellIs" dxfId="520" priority="163" stopIfTrue="1" operator="greaterThan">
      <formula>$BU$10</formula>
    </cfRule>
    <cfRule type="cellIs" dxfId="519" priority="164" stopIfTrue="1" operator="lessThan">
      <formula>$BU$10</formula>
    </cfRule>
  </conditionalFormatting>
  <conditionalFormatting sqref="T11">
    <cfRule type="cellIs" dxfId="518" priority="159" stopIfTrue="1" operator="greaterThan">
      <formula>$BU$11</formula>
    </cfRule>
    <cfRule type="cellIs" dxfId="517" priority="160" stopIfTrue="1" operator="lessThan">
      <formula>$BU$11</formula>
    </cfRule>
  </conditionalFormatting>
  <conditionalFormatting sqref="T12">
    <cfRule type="cellIs" dxfId="516" priority="157" stopIfTrue="1" operator="greaterThan">
      <formula>$BU$12</formula>
    </cfRule>
    <cfRule type="cellIs" dxfId="515" priority="158" stopIfTrue="1" operator="lessThan">
      <formula>$BU$12</formula>
    </cfRule>
  </conditionalFormatting>
  <conditionalFormatting sqref="T15">
    <cfRule type="cellIs" dxfId="514" priority="143" stopIfTrue="1" operator="greaterThan">
      <formula>$BU$15</formula>
    </cfRule>
    <cfRule type="cellIs" dxfId="513" priority="144" stopIfTrue="1" operator="lessThan">
      <formula>$BU$15</formula>
    </cfRule>
  </conditionalFormatting>
  <conditionalFormatting sqref="T16">
    <cfRule type="cellIs" dxfId="512" priority="141" stopIfTrue="1" operator="greaterThan">
      <formula>$BU$16</formula>
    </cfRule>
    <cfRule type="cellIs" dxfId="511" priority="142" stopIfTrue="1" operator="lessThan">
      <formula>$BU$16</formula>
    </cfRule>
  </conditionalFormatting>
  <conditionalFormatting sqref="T17">
    <cfRule type="cellIs" dxfId="510" priority="139" stopIfTrue="1" operator="greaterThan">
      <formula>$BU$17</formula>
    </cfRule>
    <cfRule type="cellIs" dxfId="509" priority="140" stopIfTrue="1" operator="lessThan">
      <formula>$BU$17</formula>
    </cfRule>
  </conditionalFormatting>
  <conditionalFormatting sqref="AU9:AU12 AU15:AU17">
    <cfRule type="cellIs" dxfId="508" priority="23" stopIfTrue="1" operator="notBetween">
      <formula>$AU$25</formula>
      <formula>$AU$26</formula>
    </cfRule>
  </conditionalFormatting>
  <conditionalFormatting sqref="AW14:AW17 AW9:AW12">
    <cfRule type="expression" dxfId="507" priority="4370"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632</v>
      </c>
      <c r="D3" s="629"/>
      <c r="E3" s="629"/>
      <c r="F3" s="629"/>
      <c r="G3" s="629" t="str">
        <f xml:space="preserve"> "Año: " &amp; Año &amp; "  Trimestres " &amp; TrimIni &amp; " al " &amp; TrimFin</f>
        <v>Año: 2023  Trimestres 4 al 4</v>
      </c>
      <c r="H3" s="630"/>
      <c r="I3" s="630"/>
      <c r="J3" s="630"/>
      <c r="K3" s="631"/>
      <c r="L3" s="631"/>
      <c r="M3" s="631"/>
      <c r="N3" s="631"/>
      <c r="O3" s="631"/>
      <c r="P3" s="631"/>
      <c r="Q3" s="631"/>
    </row>
    <row r="4" spans="1:18" ht="42" customHeight="1" thickBot="1">
      <c r="A4" s="1531" t="s">
        <v>633</v>
      </c>
      <c r="B4" s="1531" t="s">
        <v>737</v>
      </c>
      <c r="C4" s="1531" t="s">
        <v>634</v>
      </c>
      <c r="D4" s="1531" t="s">
        <v>695</v>
      </c>
      <c r="E4" s="1533" t="s">
        <v>696</v>
      </c>
      <c r="F4" s="1531" t="s">
        <v>635</v>
      </c>
      <c r="G4" s="1533" t="s">
        <v>456</v>
      </c>
      <c r="H4" s="1526" t="s">
        <v>636</v>
      </c>
      <c r="I4" s="1526" t="s">
        <v>637</v>
      </c>
      <c r="J4" s="1526" t="s">
        <v>638</v>
      </c>
      <c r="K4" s="1528" t="s">
        <v>275</v>
      </c>
      <c r="L4" s="1529"/>
      <c r="M4" s="1529"/>
      <c r="N4" s="1530"/>
      <c r="O4" s="1528" t="s">
        <v>451</v>
      </c>
      <c r="P4" s="1529"/>
      <c r="Q4" s="1529"/>
      <c r="R4" s="1530"/>
    </row>
    <row r="5" spans="1:18" ht="27.75" customHeight="1" thickBot="1">
      <c r="A5" s="1532"/>
      <c r="B5" s="1532"/>
      <c r="C5" s="1532"/>
      <c r="D5" s="1532"/>
      <c r="E5" s="1532"/>
      <c r="F5" s="1532"/>
      <c r="G5" s="1532"/>
      <c r="H5" s="1527"/>
      <c r="I5" s="1527"/>
      <c r="J5" s="1527"/>
      <c r="K5" s="849" t="s">
        <v>452</v>
      </c>
      <c r="L5" s="849" t="s">
        <v>453</v>
      </c>
      <c r="M5" s="849" t="s">
        <v>454</v>
      </c>
      <c r="N5" s="849" t="s">
        <v>455</v>
      </c>
      <c r="O5" s="850" t="s">
        <v>452</v>
      </c>
      <c r="P5" s="849" t="s">
        <v>453</v>
      </c>
      <c r="Q5" s="849" t="s">
        <v>454</v>
      </c>
      <c r="R5" s="849" t="s">
        <v>455</v>
      </c>
    </row>
  </sheetData>
  <sheetProtection algorithmName="SHA-512" hashValue="CroiYLud7V72KnXD5Fk141IERrhfMU7VSAaF0gWJIMZVqVOKHRR9vuOCR+uMR6SkdyQeimvvXtN/5nSSzRj4iQ==" saltValue="UrOMDhVjqBF+FrndbMTZ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t="s">
        <v>259</v>
      </c>
      <c r="BO1" s="31" t="s">
        <v>260</v>
      </c>
      <c r="BP1" s="30" t="s">
        <v>261</v>
      </c>
      <c r="BQ1" s="50" t="s">
        <v>263</v>
      </c>
      <c r="BR1" s="31" t="s">
        <v>269</v>
      </c>
      <c r="BS1" s="30" t="s">
        <v>270</v>
      </c>
      <c r="BT1" s="50" t="s">
        <v>271</v>
      </c>
      <c r="BU1" s="31" t="s">
        <v>285</v>
      </c>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t="s">
        <v>203</v>
      </c>
      <c r="BO5" s="1295"/>
      <c r="BP5" s="1294" t="s">
        <v>204</v>
      </c>
      <c r="BQ5" s="1295"/>
      <c r="BR5" s="1294" t="s">
        <v>205</v>
      </c>
      <c r="BS5" s="1295"/>
      <c r="BT5" s="1294" t="s">
        <v>206</v>
      </c>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759</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t="s">
        <v>163</v>
      </c>
      <c r="BO6" s="1292" t="s">
        <v>164</v>
      </c>
      <c r="BP6" s="1292" t="s">
        <v>163</v>
      </c>
      <c r="BQ6" s="1292" t="s">
        <v>164</v>
      </c>
      <c r="BR6" s="1292" t="s">
        <v>163</v>
      </c>
      <c r="BS6" s="1292" t="s">
        <v>164</v>
      </c>
      <c r="BT6" s="1292" t="s">
        <v>163</v>
      </c>
      <c r="BU6" s="1292" t="s">
        <v>164</v>
      </c>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50" t="s">
        <v>755</v>
      </c>
      <c r="ER8" s="50" t="s">
        <v>760</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7LMvjkKGqvtqjVNB6lUa8UezcFNGHCmOGPMZTJKLIRD+JVR1duHJlnAqN23KpSTW2bl7Q58z/Vq+y+EQS1x4A==" saltValue="jqQVU0z8Uc/O6lmIIQpgNw=="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5:BI15 BH12:BI12 BJ11:BJ12 BJ15:BJ17 BV11:BX11 CA11:CD11 CK15:CR17 CS17:CU17 CS15:CU15 CS12:CU12 CK11:CR12 AO10 AQ10 AO12:AR12 AQ17 AO15:AR15 Y10:AB10 S15:AN17 S9:X12 AC10:AN12 AC9:AX9 BT16:BU16 BK17:BX17 CA17:CJ17 AS10:AX12 AS15:AX17 BK12:BX12 CA12:CJ12 CV15:DL17 CV11:DL12 BJ10:DL10 BK15:CJ15 BH9:EA9 EB15:EK17 EO15:ER17 EV9:EW12 EV15:EW17 DF9:DF12 AU9:AU12 AW9:AW12 DM10:EN12 EO9:ES12 EX10:EY12">
    <cfRule type="cellIs" dxfId="506" priority="1993" stopIfTrue="1" operator="equal">
      <formula>$A$31</formula>
    </cfRule>
  </conditionalFormatting>
  <conditionalFormatting sqref="BD14:BG14 I8:DF8 I1:DG1 BH18:EJ18 I18:BC18 I13:BC14 DJ8 BH13:DL14 I19:DL19 EM13:EN13 EO8:ER8 EO14:ER14 EV14:EW14 EV18:EW18 EX19:EY19">
    <cfRule type="cellIs" dxfId="505" priority="1994" stopIfTrue="1" operator="equal">
      <formula>$A$31</formula>
    </cfRule>
  </conditionalFormatting>
  <conditionalFormatting sqref="BH10:BI11 BH16:BI17 CE11:CJ11 CO11 CO16 CS16:DD16 AP17 AR10 AP10 AR17 AP16:AR16 AO16:AO17 Y11:AB12 I9:R9 Y9:AB9 I17:R17 BK11:BU11 BK16:BX16 AO11:AS11 AU11 I15:O16 CA16:CJ16 I11:R12 CS11:DG11 EO11:ER11 EO16:ER16 EV16:EW16">
    <cfRule type="cellIs" dxfId="504" priority="1995" stopIfTrue="1" operator="equal">
      <formula>$A$30</formula>
    </cfRule>
  </conditionalFormatting>
  <conditionalFormatting sqref="BT16:BU16">
    <cfRule type="cellIs" dxfId="503" priority="1992" stopIfTrue="1" operator="equal">
      <formula>$A$31</formula>
    </cfRule>
  </conditionalFormatting>
  <conditionalFormatting sqref="DE16">
    <cfRule type="cellIs" dxfId="502" priority="1989" stopIfTrue="1" operator="equal">
      <formula>$A$30</formula>
    </cfRule>
  </conditionalFormatting>
  <conditionalFormatting sqref="BN16:BU16">
    <cfRule type="cellIs" dxfId="501" priority="1986" stopIfTrue="1" operator="equal">
      <formula>$A$30</formula>
    </cfRule>
  </conditionalFormatting>
  <conditionalFormatting sqref="DB16:DE16">
    <cfRule type="cellIs" dxfId="500" priority="1979" stopIfTrue="1" operator="equal">
      <formula>$A$30</formula>
    </cfRule>
  </conditionalFormatting>
  <conditionalFormatting sqref="DB16:DE16">
    <cfRule type="cellIs" dxfId="499" priority="1975" stopIfTrue="1" operator="equal">
      <formula>$A$30</formula>
    </cfRule>
  </conditionalFormatting>
  <conditionalFormatting sqref="DB15">
    <cfRule type="cellIs" dxfId="498" priority="1973" stopIfTrue="1" operator="equal">
      <formula>$A$30</formula>
    </cfRule>
  </conditionalFormatting>
  <conditionalFormatting sqref="DE17">
    <cfRule type="cellIs" dxfId="497" priority="1972" stopIfTrue="1" operator="equal">
      <formula>$A$30</formula>
    </cfRule>
  </conditionalFormatting>
  <conditionalFormatting sqref="DB15:DE17">
    <cfRule type="cellIs" dxfId="496" priority="1968" stopIfTrue="1" operator="equal">
      <formula>$A$31</formula>
    </cfRule>
  </conditionalFormatting>
  <conditionalFormatting sqref="DB13:DE14">
    <cfRule type="cellIs" dxfId="495" priority="1967" stopIfTrue="1" operator="equal">
      <formula>$A$31</formula>
    </cfRule>
  </conditionalFormatting>
  <conditionalFormatting sqref="DB16:DE16">
    <cfRule type="cellIs" dxfId="494" priority="1966" stopIfTrue="1" operator="equal">
      <formula>$A$30</formula>
    </cfRule>
  </conditionalFormatting>
  <conditionalFormatting sqref="DB15:DE17">
    <cfRule type="cellIs" dxfId="493" priority="1964" stopIfTrue="1" operator="equal">
      <formula>$A$31</formula>
    </cfRule>
  </conditionalFormatting>
  <conditionalFormatting sqref="DB13:DE14">
    <cfRule type="cellIs" dxfId="492" priority="1963" stopIfTrue="1" operator="equal">
      <formula>$A$31</formula>
    </cfRule>
  </conditionalFormatting>
  <conditionalFormatting sqref="DB16:DE16">
    <cfRule type="cellIs" dxfId="491" priority="1962" stopIfTrue="1" operator="equal">
      <formula>$A$30</formula>
    </cfRule>
  </conditionalFormatting>
  <conditionalFormatting sqref="DB15">
    <cfRule type="cellIs" dxfId="490" priority="1960" stopIfTrue="1" operator="equal">
      <formula>$A$30</formula>
    </cfRule>
  </conditionalFormatting>
  <conditionalFormatting sqref="DE17">
    <cfRule type="cellIs" dxfId="489" priority="1959" stopIfTrue="1" operator="equal">
      <formula>$A$30</formula>
    </cfRule>
  </conditionalFormatting>
  <conditionalFormatting sqref="DF1:DG1">
    <cfRule type="cellIs" dxfId="488" priority="1951" stopIfTrue="1" operator="equal">
      <formula>$A$31</formula>
    </cfRule>
  </conditionalFormatting>
  <conditionalFormatting sqref="DF16">
    <cfRule type="cellIs" dxfId="487" priority="1948" stopIfTrue="1" operator="equal">
      <formula>$A$30</formula>
    </cfRule>
  </conditionalFormatting>
  <conditionalFormatting sqref="DF16">
    <cfRule type="cellIs" dxfId="486" priority="1945" stopIfTrue="1" operator="equal">
      <formula>$A$30</formula>
    </cfRule>
  </conditionalFormatting>
  <conditionalFormatting sqref="DF16">
    <cfRule type="cellIs" dxfId="485" priority="1942" stopIfTrue="1" operator="equal">
      <formula>$A$30</formula>
    </cfRule>
  </conditionalFormatting>
  <conditionalFormatting sqref="DF17">
    <cfRule type="cellIs" dxfId="484" priority="1941" stopIfTrue="1" operator="equal">
      <formula>$A$30</formula>
    </cfRule>
  </conditionalFormatting>
  <conditionalFormatting sqref="DF15:DF17">
    <cfRule type="cellIs" dxfId="483" priority="1937" stopIfTrue="1" operator="equal">
      <formula>$A$31</formula>
    </cfRule>
  </conditionalFormatting>
  <conditionalFormatting sqref="DF13:DF14">
    <cfRule type="cellIs" dxfId="482" priority="1936" stopIfTrue="1" operator="equal">
      <formula>$A$31</formula>
    </cfRule>
  </conditionalFormatting>
  <conditionalFormatting sqref="DF16">
    <cfRule type="cellIs" dxfId="481" priority="1935" stopIfTrue="1" operator="equal">
      <formula>$A$30</formula>
    </cfRule>
  </conditionalFormatting>
  <conditionalFormatting sqref="DF15:DF17">
    <cfRule type="cellIs" dxfId="480" priority="1934" stopIfTrue="1" operator="equal">
      <formula>$A$31</formula>
    </cfRule>
  </conditionalFormatting>
  <conditionalFormatting sqref="DF13:DF14">
    <cfRule type="cellIs" dxfId="479" priority="1933" stopIfTrue="1" operator="equal">
      <formula>$A$31</formula>
    </cfRule>
  </conditionalFormatting>
  <conditionalFormatting sqref="DF16">
    <cfRule type="cellIs" dxfId="478" priority="1932" stopIfTrue="1" operator="equal">
      <formula>$A$30</formula>
    </cfRule>
  </conditionalFormatting>
  <conditionalFormatting sqref="DF17">
    <cfRule type="cellIs" dxfId="477" priority="1931" stopIfTrue="1" operator="equal">
      <formula>$A$30</formula>
    </cfRule>
  </conditionalFormatting>
  <conditionalFormatting sqref="DB16:DE16">
    <cfRule type="cellIs" dxfId="476" priority="1927" stopIfTrue="1" operator="equal">
      <formula>$A$30</formula>
    </cfRule>
  </conditionalFormatting>
  <conditionalFormatting sqref="DB16:DE16">
    <cfRule type="cellIs" dxfId="475" priority="1923" stopIfTrue="1" operator="equal">
      <formula>$A$30</formula>
    </cfRule>
  </conditionalFormatting>
  <conditionalFormatting sqref="DB15">
    <cfRule type="cellIs" dxfId="474" priority="1921" stopIfTrue="1" operator="equal">
      <formula>$A$30</formula>
    </cfRule>
  </conditionalFormatting>
  <conditionalFormatting sqref="DE17">
    <cfRule type="cellIs" dxfId="473" priority="1920" stopIfTrue="1" operator="equal">
      <formula>$A$30</formula>
    </cfRule>
  </conditionalFormatting>
  <conditionalFormatting sqref="DF16">
    <cfRule type="cellIs" dxfId="472" priority="1908" stopIfTrue="1" operator="equal">
      <formula>$A$30</formula>
    </cfRule>
  </conditionalFormatting>
  <conditionalFormatting sqref="DF16">
    <cfRule type="cellIs" dxfId="471" priority="1905" stopIfTrue="1" operator="equal">
      <formula>$A$30</formula>
    </cfRule>
  </conditionalFormatting>
  <conditionalFormatting sqref="DF16">
    <cfRule type="cellIs" dxfId="470" priority="1902" stopIfTrue="1" operator="equal">
      <formula>$A$30</formula>
    </cfRule>
  </conditionalFormatting>
  <conditionalFormatting sqref="DF17">
    <cfRule type="cellIs" dxfId="469" priority="1901" stopIfTrue="1" operator="equal">
      <formula>$A$30</formula>
    </cfRule>
  </conditionalFormatting>
  <conditionalFormatting sqref="DF13:DF14">
    <cfRule type="cellIs" dxfId="468" priority="1896" stopIfTrue="1" operator="equal">
      <formula>$A$31</formula>
    </cfRule>
  </conditionalFormatting>
  <conditionalFormatting sqref="DF16">
    <cfRule type="cellIs" dxfId="467" priority="1895" stopIfTrue="1" operator="equal">
      <formula>$A$30</formula>
    </cfRule>
  </conditionalFormatting>
  <conditionalFormatting sqref="DF13:DF14">
    <cfRule type="cellIs" dxfId="466" priority="1893" stopIfTrue="1" operator="equal">
      <formula>$A$31</formula>
    </cfRule>
  </conditionalFormatting>
  <conditionalFormatting sqref="DF16">
    <cfRule type="cellIs" dxfId="465" priority="1892" stopIfTrue="1" operator="equal">
      <formula>$A$30</formula>
    </cfRule>
  </conditionalFormatting>
  <conditionalFormatting sqref="DF17">
    <cfRule type="cellIs" dxfId="464" priority="1891" stopIfTrue="1" operator="equal">
      <formula>$A$30</formula>
    </cfRule>
  </conditionalFormatting>
  <conditionalFormatting sqref="DB16:DE16">
    <cfRule type="cellIs" dxfId="463" priority="1884" stopIfTrue="1" operator="equal">
      <formula>$A$30</formula>
    </cfRule>
  </conditionalFormatting>
  <conditionalFormatting sqref="DB16:DE16">
    <cfRule type="cellIs" dxfId="462" priority="1880" stopIfTrue="1" operator="equal">
      <formula>$A$30</formula>
    </cfRule>
  </conditionalFormatting>
  <conditionalFormatting sqref="DB15">
    <cfRule type="cellIs" dxfId="461" priority="1878" stopIfTrue="1" operator="equal">
      <formula>$A$30</formula>
    </cfRule>
  </conditionalFormatting>
  <conditionalFormatting sqref="DE17">
    <cfRule type="cellIs" dxfId="460" priority="1877" stopIfTrue="1" operator="equal">
      <formula>$A$30</formula>
    </cfRule>
  </conditionalFormatting>
  <conditionalFormatting sqref="DF16">
    <cfRule type="cellIs" dxfId="459" priority="1865" stopIfTrue="1" operator="equal">
      <formula>$A$30</formula>
    </cfRule>
  </conditionalFormatting>
  <conditionalFormatting sqref="DF16">
    <cfRule type="cellIs" dxfId="458" priority="1862" stopIfTrue="1" operator="equal">
      <formula>$A$30</formula>
    </cfRule>
  </conditionalFormatting>
  <conditionalFormatting sqref="DF16">
    <cfRule type="cellIs" dxfId="457" priority="1859" stopIfTrue="1" operator="equal">
      <formula>$A$30</formula>
    </cfRule>
  </conditionalFormatting>
  <conditionalFormatting sqref="DF17">
    <cfRule type="cellIs" dxfId="456" priority="1858" stopIfTrue="1" operator="equal">
      <formula>$A$30</formula>
    </cfRule>
  </conditionalFormatting>
  <conditionalFormatting sqref="DF13:DF14">
    <cfRule type="cellIs" dxfId="455" priority="1853" stopIfTrue="1" operator="equal">
      <formula>$A$31</formula>
    </cfRule>
  </conditionalFormatting>
  <conditionalFormatting sqref="DF16">
    <cfRule type="cellIs" dxfId="454" priority="1852" stopIfTrue="1" operator="equal">
      <formula>$A$30</formula>
    </cfRule>
  </conditionalFormatting>
  <conditionalFormatting sqref="DF13:DF14">
    <cfRule type="cellIs" dxfId="453" priority="1850" stopIfTrue="1" operator="equal">
      <formula>$A$31</formula>
    </cfRule>
  </conditionalFormatting>
  <conditionalFormatting sqref="DF16">
    <cfRule type="cellIs" dxfId="452" priority="1849" stopIfTrue="1" operator="equal">
      <formula>$A$30</formula>
    </cfRule>
  </conditionalFormatting>
  <conditionalFormatting sqref="DF17">
    <cfRule type="cellIs" dxfId="451" priority="1848" stopIfTrue="1" operator="equal">
      <formula>$A$30</formula>
    </cfRule>
  </conditionalFormatting>
  <conditionalFormatting sqref="DB16:DE16">
    <cfRule type="cellIs" dxfId="450" priority="1844" stopIfTrue="1" operator="equal">
      <formula>$A$30</formula>
    </cfRule>
  </conditionalFormatting>
  <conditionalFormatting sqref="DB16:DE16">
    <cfRule type="cellIs" dxfId="449" priority="1840" stopIfTrue="1" operator="equal">
      <formula>$A$30</formula>
    </cfRule>
  </conditionalFormatting>
  <conditionalFormatting sqref="DB15">
    <cfRule type="cellIs" dxfId="448" priority="1838" stopIfTrue="1" operator="equal">
      <formula>$A$30</formula>
    </cfRule>
  </conditionalFormatting>
  <conditionalFormatting sqref="DE17">
    <cfRule type="cellIs" dxfId="447" priority="1837" stopIfTrue="1" operator="equal">
      <formula>$A$30</formula>
    </cfRule>
  </conditionalFormatting>
  <conditionalFormatting sqref="DF16">
    <cfRule type="cellIs" dxfId="446" priority="1825" stopIfTrue="1" operator="equal">
      <formula>$A$30</formula>
    </cfRule>
  </conditionalFormatting>
  <conditionalFormatting sqref="DF16">
    <cfRule type="cellIs" dxfId="445" priority="1822" stopIfTrue="1" operator="equal">
      <formula>$A$30</formula>
    </cfRule>
  </conditionalFormatting>
  <conditionalFormatting sqref="DF16">
    <cfRule type="cellIs" dxfId="444" priority="1819" stopIfTrue="1" operator="equal">
      <formula>$A$30</formula>
    </cfRule>
  </conditionalFormatting>
  <conditionalFormatting sqref="DF17">
    <cfRule type="cellIs" dxfId="443" priority="1818" stopIfTrue="1" operator="equal">
      <formula>$A$30</formula>
    </cfRule>
  </conditionalFormatting>
  <conditionalFormatting sqref="DF13:DF14">
    <cfRule type="cellIs" dxfId="442" priority="1813" stopIfTrue="1" operator="equal">
      <formula>$A$31</formula>
    </cfRule>
  </conditionalFormatting>
  <conditionalFormatting sqref="DF16">
    <cfRule type="cellIs" dxfId="441" priority="1812" stopIfTrue="1" operator="equal">
      <formula>$A$30</formula>
    </cfRule>
  </conditionalFormatting>
  <conditionalFormatting sqref="DF13:DF14">
    <cfRule type="cellIs" dxfId="440" priority="1810" stopIfTrue="1" operator="equal">
      <formula>$A$31</formula>
    </cfRule>
  </conditionalFormatting>
  <conditionalFormatting sqref="DF16">
    <cfRule type="cellIs" dxfId="439" priority="1809" stopIfTrue="1" operator="equal">
      <formula>$A$30</formula>
    </cfRule>
  </conditionalFormatting>
  <conditionalFormatting sqref="DF17">
    <cfRule type="cellIs" dxfId="438" priority="1808" stopIfTrue="1" operator="equal">
      <formula>$A$30</formula>
    </cfRule>
  </conditionalFormatting>
  <conditionalFormatting sqref="DB16:DE16">
    <cfRule type="cellIs" dxfId="437" priority="1804" stopIfTrue="1" operator="equal">
      <formula>$A$30</formula>
    </cfRule>
  </conditionalFormatting>
  <conditionalFormatting sqref="DB16:DE16">
    <cfRule type="cellIs" dxfId="436" priority="1800" stopIfTrue="1" operator="equal">
      <formula>$A$30</formula>
    </cfRule>
  </conditionalFormatting>
  <conditionalFormatting sqref="DB15">
    <cfRule type="cellIs" dxfId="435" priority="1798" stopIfTrue="1" operator="equal">
      <formula>$A$30</formula>
    </cfRule>
  </conditionalFormatting>
  <conditionalFormatting sqref="DE17">
    <cfRule type="cellIs" dxfId="434" priority="1797" stopIfTrue="1" operator="equal">
      <formula>$A$30</formula>
    </cfRule>
  </conditionalFormatting>
  <conditionalFormatting sqref="DF16">
    <cfRule type="cellIs" dxfId="433" priority="1785" stopIfTrue="1" operator="equal">
      <formula>$A$30</formula>
    </cfRule>
  </conditionalFormatting>
  <conditionalFormatting sqref="DF16">
    <cfRule type="cellIs" dxfId="432" priority="1782" stopIfTrue="1" operator="equal">
      <formula>$A$30</formula>
    </cfRule>
  </conditionalFormatting>
  <conditionalFormatting sqref="DF16">
    <cfRule type="cellIs" dxfId="431" priority="1779" stopIfTrue="1" operator="equal">
      <formula>$A$30</formula>
    </cfRule>
  </conditionalFormatting>
  <conditionalFormatting sqref="DF17">
    <cfRule type="cellIs" dxfId="430" priority="1778" stopIfTrue="1" operator="equal">
      <formula>$A$30</formula>
    </cfRule>
  </conditionalFormatting>
  <conditionalFormatting sqref="DF13:DF14">
    <cfRule type="cellIs" dxfId="429" priority="1773" stopIfTrue="1" operator="equal">
      <formula>$A$31</formula>
    </cfRule>
  </conditionalFormatting>
  <conditionalFormatting sqref="DF16">
    <cfRule type="cellIs" dxfId="428" priority="1772" stopIfTrue="1" operator="equal">
      <formula>$A$30</formula>
    </cfRule>
  </conditionalFormatting>
  <conditionalFormatting sqref="DF13:DF14">
    <cfRule type="cellIs" dxfId="427" priority="1770" stopIfTrue="1" operator="equal">
      <formula>$A$31</formula>
    </cfRule>
  </conditionalFormatting>
  <conditionalFormatting sqref="DF16">
    <cfRule type="cellIs" dxfId="426" priority="1769" stopIfTrue="1" operator="equal">
      <formula>$A$30</formula>
    </cfRule>
  </conditionalFormatting>
  <conditionalFormatting sqref="DF17">
    <cfRule type="cellIs" dxfId="425" priority="1768" stopIfTrue="1" operator="equal">
      <formula>$A$30</formula>
    </cfRule>
  </conditionalFormatting>
  <conditionalFormatting sqref="DB16:DD16">
    <cfRule type="cellIs" dxfId="424" priority="1762" stopIfTrue="1" operator="equal">
      <formula>$A$30</formula>
    </cfRule>
  </conditionalFormatting>
  <conditionalFormatting sqref="DB16:DD16">
    <cfRule type="cellIs" dxfId="423" priority="1758" stopIfTrue="1" operator="equal">
      <formula>$A$30</formula>
    </cfRule>
  </conditionalFormatting>
  <conditionalFormatting sqref="DB15">
    <cfRule type="cellIs" dxfId="422" priority="1756" stopIfTrue="1" operator="equal">
      <formula>$A$30</formula>
    </cfRule>
  </conditionalFormatting>
  <conditionalFormatting sqref="AS16">
    <cfRule type="cellIs" dxfId="421" priority="1749" stopIfTrue="1" operator="equal">
      <formula>$A$30</formula>
    </cfRule>
  </conditionalFormatting>
  <conditionalFormatting sqref="AS16">
    <cfRule type="cellIs" dxfId="420" priority="1746" stopIfTrue="1" operator="equal">
      <formula>$A$30</formula>
    </cfRule>
  </conditionalFormatting>
  <conditionalFormatting sqref="AS16">
    <cfRule type="cellIs" dxfId="419" priority="1743" stopIfTrue="1" operator="equal">
      <formula>$A$30</formula>
    </cfRule>
  </conditionalFormatting>
  <conditionalFormatting sqref="AS15">
    <cfRule type="cellIs" dxfId="418" priority="1742" stopIfTrue="1" operator="equal">
      <formula>$A$30</formula>
    </cfRule>
  </conditionalFormatting>
  <conditionalFormatting sqref="AS15:AS17">
    <cfRule type="cellIs" dxfId="417" priority="1741" stopIfTrue="1" operator="equal">
      <formula>$A$31</formula>
    </cfRule>
  </conditionalFormatting>
  <conditionalFormatting sqref="AS13:AS14">
    <cfRule type="cellIs" dxfId="416" priority="1740" stopIfTrue="1" operator="equal">
      <formula>$A$31</formula>
    </cfRule>
  </conditionalFormatting>
  <conditionalFormatting sqref="AS16">
    <cfRule type="cellIs" dxfId="415" priority="1739" stopIfTrue="1" operator="equal">
      <formula>$A$30</formula>
    </cfRule>
  </conditionalFormatting>
  <conditionalFormatting sqref="AS15:AS17">
    <cfRule type="cellIs" dxfId="414" priority="1738" stopIfTrue="1" operator="equal">
      <formula>$A$31</formula>
    </cfRule>
  </conditionalFormatting>
  <conditionalFormatting sqref="AS13:AS14">
    <cfRule type="cellIs" dxfId="413" priority="1737" stopIfTrue="1" operator="equal">
      <formula>$A$31</formula>
    </cfRule>
  </conditionalFormatting>
  <conditionalFormatting sqref="AS16">
    <cfRule type="cellIs" dxfId="412" priority="1736" stopIfTrue="1" operator="equal">
      <formula>$A$30</formula>
    </cfRule>
  </conditionalFormatting>
  <conditionalFormatting sqref="AS15">
    <cfRule type="cellIs" dxfId="411" priority="1735" stopIfTrue="1" operator="equal">
      <formula>$A$30</formula>
    </cfRule>
  </conditionalFormatting>
  <conditionalFormatting sqref="AS16">
    <cfRule type="cellIs" dxfId="410" priority="1726" stopIfTrue="1" operator="equal">
      <formula>$A$30</formula>
    </cfRule>
  </conditionalFormatting>
  <conditionalFormatting sqref="AS16">
    <cfRule type="cellIs" dxfId="409" priority="1723" stopIfTrue="1" operator="equal">
      <formula>$A$30</formula>
    </cfRule>
  </conditionalFormatting>
  <conditionalFormatting sqref="AS15">
    <cfRule type="cellIs" dxfId="408" priority="1722" stopIfTrue="1" operator="equal">
      <formula>$A$30</formula>
    </cfRule>
  </conditionalFormatting>
  <conditionalFormatting sqref="AS16">
    <cfRule type="cellIs" dxfId="407" priority="1713" stopIfTrue="1" operator="equal">
      <formula>$A$30</formula>
    </cfRule>
  </conditionalFormatting>
  <conditionalFormatting sqref="AS16">
    <cfRule type="cellIs" dxfId="406" priority="1710" stopIfTrue="1" operator="equal">
      <formula>$A$30</formula>
    </cfRule>
  </conditionalFormatting>
  <conditionalFormatting sqref="AS15">
    <cfRule type="cellIs" dxfId="405" priority="1709" stopIfTrue="1" operator="equal">
      <formula>$A$30</formula>
    </cfRule>
  </conditionalFormatting>
  <conditionalFormatting sqref="AS16">
    <cfRule type="cellIs" dxfId="404" priority="1700" stopIfTrue="1" operator="equal">
      <formula>$A$30</formula>
    </cfRule>
  </conditionalFormatting>
  <conditionalFormatting sqref="AS16">
    <cfRule type="cellIs" dxfId="403" priority="1697" stopIfTrue="1" operator="equal">
      <formula>$A$30</formula>
    </cfRule>
  </conditionalFormatting>
  <conditionalFormatting sqref="AS15">
    <cfRule type="cellIs" dxfId="402" priority="1696" stopIfTrue="1" operator="equal">
      <formula>$A$30</formula>
    </cfRule>
  </conditionalFormatting>
  <conditionalFormatting sqref="AS16">
    <cfRule type="cellIs" dxfId="401" priority="1687" stopIfTrue="1" operator="equal">
      <formula>$A$30</formula>
    </cfRule>
  </conditionalFormatting>
  <conditionalFormatting sqref="AS16">
    <cfRule type="cellIs" dxfId="400" priority="1684" stopIfTrue="1" operator="equal">
      <formula>$A$30</formula>
    </cfRule>
  </conditionalFormatting>
  <conditionalFormatting sqref="AS15">
    <cfRule type="cellIs" dxfId="399" priority="1683" stopIfTrue="1" operator="equal">
      <formula>$A$30</formula>
    </cfRule>
  </conditionalFormatting>
  <conditionalFormatting sqref="AS16">
    <cfRule type="cellIs" dxfId="398" priority="1674" stopIfTrue="1" operator="equal">
      <formula>$A$30</formula>
    </cfRule>
  </conditionalFormatting>
  <conditionalFormatting sqref="AS16">
    <cfRule type="cellIs" dxfId="397" priority="1671" stopIfTrue="1" operator="equal">
      <formula>$A$30</formula>
    </cfRule>
  </conditionalFormatting>
  <conditionalFormatting sqref="AS15">
    <cfRule type="cellIs" dxfId="396" priority="1670" stopIfTrue="1" operator="equal">
      <formula>$A$30</formula>
    </cfRule>
  </conditionalFormatting>
  <conditionalFormatting sqref="AU16">
    <cfRule type="cellIs" dxfId="395" priority="1663" stopIfTrue="1" operator="equal">
      <formula>$A$30</formula>
    </cfRule>
  </conditionalFormatting>
  <conditionalFormatting sqref="AU16">
    <cfRule type="cellIs" dxfId="394" priority="1660" stopIfTrue="1" operator="equal">
      <formula>$A$30</formula>
    </cfRule>
  </conditionalFormatting>
  <conditionalFormatting sqref="AU16">
    <cfRule type="cellIs" dxfId="393" priority="1657" stopIfTrue="1" operator="equal">
      <formula>$A$30</formula>
    </cfRule>
  </conditionalFormatting>
  <conditionalFormatting sqref="AU15">
    <cfRule type="cellIs" dxfId="392" priority="1656" stopIfTrue="1" operator="equal">
      <formula>$A$30</formula>
    </cfRule>
  </conditionalFormatting>
  <conditionalFormatting sqref="AU13:AU14">
    <cfRule type="cellIs" dxfId="391" priority="1654" stopIfTrue="1" operator="equal">
      <formula>$A$31</formula>
    </cfRule>
  </conditionalFormatting>
  <conditionalFormatting sqref="AU16">
    <cfRule type="cellIs" dxfId="390" priority="1653" stopIfTrue="1" operator="equal">
      <formula>$A$30</formula>
    </cfRule>
  </conditionalFormatting>
  <conditionalFormatting sqref="AU13:AU14">
    <cfRule type="cellIs" dxfId="389" priority="1651" stopIfTrue="1" operator="equal">
      <formula>$A$31</formula>
    </cfRule>
  </conditionalFormatting>
  <conditionalFormatting sqref="AU16">
    <cfRule type="cellIs" dxfId="388" priority="1650" stopIfTrue="1" operator="equal">
      <formula>$A$30</formula>
    </cfRule>
  </conditionalFormatting>
  <conditionalFormatting sqref="AU15">
    <cfRule type="cellIs" dxfId="387" priority="1649" stopIfTrue="1" operator="equal">
      <formula>$A$30</formula>
    </cfRule>
  </conditionalFormatting>
  <conditionalFormatting sqref="AU16">
    <cfRule type="cellIs" dxfId="386" priority="1640" stopIfTrue="1" operator="equal">
      <formula>$A$30</formula>
    </cfRule>
  </conditionalFormatting>
  <conditionalFormatting sqref="AU16">
    <cfRule type="cellIs" dxfId="385" priority="1637" stopIfTrue="1" operator="equal">
      <formula>$A$30</formula>
    </cfRule>
  </conditionalFormatting>
  <conditionalFormatting sqref="AU15">
    <cfRule type="cellIs" dxfId="384" priority="1636" stopIfTrue="1" operator="equal">
      <formula>$A$30</formula>
    </cfRule>
  </conditionalFormatting>
  <conditionalFormatting sqref="AU16">
    <cfRule type="cellIs" dxfId="383" priority="1627" stopIfTrue="1" operator="equal">
      <formula>$A$30</formula>
    </cfRule>
  </conditionalFormatting>
  <conditionalFormatting sqref="AU16">
    <cfRule type="cellIs" dxfId="382" priority="1624" stopIfTrue="1" operator="equal">
      <formula>$A$30</formula>
    </cfRule>
  </conditionalFormatting>
  <conditionalFormatting sqref="AU15">
    <cfRule type="cellIs" dxfId="381" priority="1623" stopIfTrue="1" operator="equal">
      <formula>$A$30</formula>
    </cfRule>
  </conditionalFormatting>
  <conditionalFormatting sqref="AU16">
    <cfRule type="cellIs" dxfId="380" priority="1614" stopIfTrue="1" operator="equal">
      <formula>$A$30</formula>
    </cfRule>
  </conditionalFormatting>
  <conditionalFormatting sqref="AU16">
    <cfRule type="cellIs" dxfId="379" priority="1611" stopIfTrue="1" operator="equal">
      <formula>$A$30</formula>
    </cfRule>
  </conditionalFormatting>
  <conditionalFormatting sqref="AU15">
    <cfRule type="cellIs" dxfId="378" priority="1610" stopIfTrue="1" operator="equal">
      <formula>$A$30</formula>
    </cfRule>
  </conditionalFormatting>
  <conditionalFormatting sqref="AU16">
    <cfRule type="cellIs" dxfId="377" priority="1601" stopIfTrue="1" operator="equal">
      <formula>$A$30</formula>
    </cfRule>
  </conditionalFormatting>
  <conditionalFormatting sqref="AU16">
    <cfRule type="cellIs" dxfId="376" priority="1598" stopIfTrue="1" operator="equal">
      <formula>$A$30</formula>
    </cfRule>
  </conditionalFormatting>
  <conditionalFormatting sqref="AU15">
    <cfRule type="cellIs" dxfId="375" priority="1597" stopIfTrue="1" operator="equal">
      <formula>$A$30</formula>
    </cfRule>
  </conditionalFormatting>
  <conditionalFormatting sqref="AU16">
    <cfRule type="cellIs" dxfId="374" priority="1588" stopIfTrue="1" operator="equal">
      <formula>$A$30</formula>
    </cfRule>
  </conditionalFormatting>
  <conditionalFormatting sqref="AU16">
    <cfRule type="cellIs" dxfId="373" priority="1585" stopIfTrue="1" operator="equal">
      <formula>$A$30</formula>
    </cfRule>
  </conditionalFormatting>
  <conditionalFormatting sqref="AU15">
    <cfRule type="cellIs" dxfId="372" priority="1584" stopIfTrue="1" operator="equal">
      <formula>$A$30</formula>
    </cfRule>
  </conditionalFormatting>
  <conditionalFormatting sqref="AW11">
    <cfRule type="cellIs" dxfId="371" priority="1577" stopIfTrue="1" operator="equal">
      <formula>$A$30</formula>
    </cfRule>
  </conditionalFormatting>
  <conditionalFormatting sqref="AW11">
    <cfRule type="cellIs" dxfId="370" priority="1575" stopIfTrue="1" operator="equal">
      <formula>$A$30</formula>
    </cfRule>
  </conditionalFormatting>
  <conditionalFormatting sqref="AW11">
    <cfRule type="cellIs" dxfId="369" priority="1573" stopIfTrue="1" operator="equal">
      <formula>$A$30</formula>
    </cfRule>
  </conditionalFormatting>
  <conditionalFormatting sqref="AW11">
    <cfRule type="cellIs" dxfId="368" priority="1571" stopIfTrue="1" operator="equal">
      <formula>$A$30</formula>
    </cfRule>
  </conditionalFormatting>
  <conditionalFormatting sqref="AW11">
    <cfRule type="cellIs" dxfId="367" priority="1569" stopIfTrue="1" operator="equal">
      <formula>$A$30</formula>
    </cfRule>
  </conditionalFormatting>
  <conditionalFormatting sqref="AW11">
    <cfRule type="cellIs" dxfId="366" priority="1567" stopIfTrue="1" operator="equal">
      <formula>$A$30</formula>
    </cfRule>
  </conditionalFormatting>
  <conditionalFormatting sqref="AW11">
    <cfRule type="cellIs" dxfId="365" priority="1565" stopIfTrue="1" operator="equal">
      <formula>$A$30</formula>
    </cfRule>
  </conditionalFormatting>
  <conditionalFormatting sqref="AW11">
    <cfRule type="cellIs" dxfId="364" priority="1563" stopIfTrue="1" operator="equal">
      <formula>$A$30</formula>
    </cfRule>
  </conditionalFormatting>
  <conditionalFormatting sqref="AW11">
    <cfRule type="cellIs" dxfId="363" priority="1561" stopIfTrue="1" operator="equal">
      <formula>$A$30</formula>
    </cfRule>
  </conditionalFormatting>
  <conditionalFormatting sqref="AW11">
    <cfRule type="cellIs" dxfId="362" priority="1559" stopIfTrue="1" operator="equal">
      <formula>$A$30</formula>
    </cfRule>
  </conditionalFormatting>
  <conditionalFormatting sqref="AW11">
    <cfRule type="cellIs" dxfId="361" priority="1557" stopIfTrue="1" operator="equal">
      <formula>$A$30</formula>
    </cfRule>
  </conditionalFormatting>
  <conditionalFormatting sqref="AW11">
    <cfRule type="cellIs" dxfId="360" priority="1555" stopIfTrue="1" operator="equal">
      <formula>$A$30</formula>
    </cfRule>
  </conditionalFormatting>
  <conditionalFormatting sqref="AW11">
    <cfRule type="cellIs" dxfId="359" priority="1553" stopIfTrue="1" operator="equal">
      <formula>$A$30</formula>
    </cfRule>
  </conditionalFormatting>
  <conditionalFormatting sqref="AW11">
    <cfRule type="cellIs" dxfId="358" priority="1551" stopIfTrue="1" operator="equal">
      <formula>$A$30</formula>
    </cfRule>
  </conditionalFormatting>
  <conditionalFormatting sqref="AW11">
    <cfRule type="cellIs" dxfId="357" priority="1549" stopIfTrue="1" operator="equal">
      <formula>$A$30</formula>
    </cfRule>
  </conditionalFormatting>
  <conditionalFormatting sqref="AU15">
    <cfRule type="cellIs" dxfId="356" priority="1442" stopIfTrue="1" operator="equal">
      <formula>$A$31</formula>
    </cfRule>
  </conditionalFormatting>
  <conditionalFormatting sqref="AU15">
    <cfRule type="cellIs" dxfId="355" priority="1441" stopIfTrue="1" operator="equal">
      <formula>$A$31</formula>
    </cfRule>
  </conditionalFormatting>
  <conditionalFormatting sqref="AU15">
    <cfRule type="cellIs" dxfId="354" priority="1440" stopIfTrue="1" operator="equal">
      <formula>$A$30</formula>
    </cfRule>
  </conditionalFormatting>
  <conditionalFormatting sqref="AU15">
    <cfRule type="cellIs" dxfId="353" priority="1439" stopIfTrue="1" operator="equal">
      <formula>$A$31</formula>
    </cfRule>
  </conditionalFormatting>
  <conditionalFormatting sqref="AU15">
    <cfRule type="cellIs" dxfId="352" priority="1438" stopIfTrue="1" operator="equal">
      <formula>$A$31</formula>
    </cfRule>
  </conditionalFormatting>
  <conditionalFormatting sqref="AU15">
    <cfRule type="cellIs" dxfId="351" priority="1437" stopIfTrue="1" operator="equal">
      <formula>$A$30</formula>
    </cfRule>
  </conditionalFormatting>
  <conditionalFormatting sqref="AU15">
    <cfRule type="cellIs" dxfId="350" priority="1436" stopIfTrue="1" operator="equal">
      <formula>$A$31</formula>
    </cfRule>
  </conditionalFormatting>
  <conditionalFormatting sqref="AU15">
    <cfRule type="cellIs" dxfId="349" priority="1435" stopIfTrue="1" operator="equal">
      <formula>$A$31</formula>
    </cfRule>
  </conditionalFormatting>
  <conditionalFormatting sqref="AU15">
    <cfRule type="cellIs" dxfId="348" priority="1434" stopIfTrue="1" operator="equal">
      <formula>$A$30</formula>
    </cfRule>
  </conditionalFormatting>
  <conditionalFormatting sqref="AU15">
    <cfRule type="cellIs" dxfId="347" priority="1433" stopIfTrue="1" operator="equal">
      <formula>$A$31</formula>
    </cfRule>
  </conditionalFormatting>
  <conditionalFormatting sqref="AU15">
    <cfRule type="cellIs" dxfId="346" priority="1432" stopIfTrue="1" operator="equal">
      <formula>$A$31</formula>
    </cfRule>
  </conditionalFormatting>
  <conditionalFormatting sqref="AU15">
    <cfRule type="cellIs" dxfId="345" priority="1431" stopIfTrue="1" operator="equal">
      <formula>$A$30</formula>
    </cfRule>
  </conditionalFormatting>
  <conditionalFormatting sqref="AU15">
    <cfRule type="cellIs" dxfId="344" priority="1430" stopIfTrue="1" operator="equal">
      <formula>$A$31</formula>
    </cfRule>
  </conditionalFormatting>
  <conditionalFormatting sqref="AU15">
    <cfRule type="cellIs" dxfId="343" priority="1429" stopIfTrue="1" operator="equal">
      <formula>$A$31</formula>
    </cfRule>
  </conditionalFormatting>
  <conditionalFormatting sqref="AU15">
    <cfRule type="cellIs" dxfId="342" priority="1428" stopIfTrue="1" operator="equal">
      <formula>$A$30</formula>
    </cfRule>
  </conditionalFormatting>
  <conditionalFormatting sqref="AU15">
    <cfRule type="cellIs" dxfId="341" priority="1427" stopIfTrue="1" operator="equal">
      <formula>$A$31</formula>
    </cfRule>
  </conditionalFormatting>
  <conditionalFormatting sqref="AU15">
    <cfRule type="cellIs" dxfId="340" priority="1426" stopIfTrue="1" operator="equal">
      <formula>$A$31</formula>
    </cfRule>
  </conditionalFormatting>
  <conditionalFormatting sqref="AU15">
    <cfRule type="cellIs" dxfId="339" priority="1425" stopIfTrue="1" operator="equal">
      <formula>$A$30</formula>
    </cfRule>
  </conditionalFormatting>
  <conditionalFormatting sqref="AU15">
    <cfRule type="cellIs" dxfId="338" priority="1424" stopIfTrue="1" operator="equal">
      <formula>$A$31</formula>
    </cfRule>
  </conditionalFormatting>
  <conditionalFormatting sqref="AU15">
    <cfRule type="cellIs" dxfId="337" priority="1423" stopIfTrue="1" operator="equal">
      <formula>$A$31</formula>
    </cfRule>
  </conditionalFormatting>
  <conditionalFormatting sqref="AU15">
    <cfRule type="cellIs" dxfId="336" priority="1422" stopIfTrue="1" operator="equal">
      <formula>$A$30</formula>
    </cfRule>
  </conditionalFormatting>
  <conditionalFormatting sqref="AW15">
    <cfRule type="cellIs" dxfId="335" priority="1421" stopIfTrue="1" operator="equal">
      <formula>$A$31</formula>
    </cfRule>
  </conditionalFormatting>
  <conditionalFormatting sqref="AW15">
    <cfRule type="cellIs" dxfId="334" priority="1420" stopIfTrue="1" operator="equal">
      <formula>$A$31</formula>
    </cfRule>
  </conditionalFormatting>
  <conditionalFormatting sqref="AW15">
    <cfRule type="cellIs" dxfId="333" priority="1419" stopIfTrue="1" operator="equal">
      <formula>$A$30</formula>
    </cfRule>
  </conditionalFormatting>
  <conditionalFormatting sqref="AW15">
    <cfRule type="cellIs" dxfId="332" priority="1418" stopIfTrue="1" operator="equal">
      <formula>$A$31</formula>
    </cfRule>
  </conditionalFormatting>
  <conditionalFormatting sqref="AW15">
    <cfRule type="cellIs" dxfId="331" priority="1417" stopIfTrue="1" operator="equal">
      <formula>$A$31</formula>
    </cfRule>
  </conditionalFormatting>
  <conditionalFormatting sqref="AW15">
    <cfRule type="cellIs" dxfId="330" priority="1416" stopIfTrue="1" operator="equal">
      <formula>$A$30</formula>
    </cfRule>
  </conditionalFormatting>
  <conditionalFormatting sqref="AW15">
    <cfRule type="cellIs" dxfId="329" priority="1415" stopIfTrue="1" operator="equal">
      <formula>$A$31</formula>
    </cfRule>
  </conditionalFormatting>
  <conditionalFormatting sqref="AW15">
    <cfRule type="cellIs" dxfId="328" priority="1414" stopIfTrue="1" operator="equal">
      <formula>$A$31</formula>
    </cfRule>
  </conditionalFormatting>
  <conditionalFormatting sqref="AW15">
    <cfRule type="cellIs" dxfId="327" priority="1413" stopIfTrue="1" operator="equal">
      <formula>$A$30</formula>
    </cfRule>
  </conditionalFormatting>
  <conditionalFormatting sqref="AW15">
    <cfRule type="cellIs" dxfId="326" priority="1412" stopIfTrue="1" operator="equal">
      <formula>$A$31</formula>
    </cfRule>
  </conditionalFormatting>
  <conditionalFormatting sqref="AW15">
    <cfRule type="cellIs" dxfId="325" priority="1411" stopIfTrue="1" operator="equal">
      <formula>$A$31</formula>
    </cfRule>
  </conditionalFormatting>
  <conditionalFormatting sqref="AW15">
    <cfRule type="cellIs" dxfId="324" priority="1410" stopIfTrue="1" operator="equal">
      <formula>$A$30</formula>
    </cfRule>
  </conditionalFormatting>
  <conditionalFormatting sqref="AW15">
    <cfRule type="cellIs" dxfId="323" priority="1409" stopIfTrue="1" operator="equal">
      <formula>$A$31</formula>
    </cfRule>
  </conditionalFormatting>
  <conditionalFormatting sqref="AW15">
    <cfRule type="cellIs" dxfId="322" priority="1408" stopIfTrue="1" operator="equal">
      <formula>$A$31</formula>
    </cfRule>
  </conditionalFormatting>
  <conditionalFormatting sqref="AW15">
    <cfRule type="cellIs" dxfId="321" priority="1407" stopIfTrue="1" operator="equal">
      <formula>$A$30</formula>
    </cfRule>
  </conditionalFormatting>
  <conditionalFormatting sqref="AW15">
    <cfRule type="cellIs" dxfId="320" priority="1406" stopIfTrue="1" operator="equal">
      <formula>$A$31</formula>
    </cfRule>
  </conditionalFormatting>
  <conditionalFormatting sqref="AW15">
    <cfRule type="cellIs" dxfId="319" priority="1405" stopIfTrue="1" operator="equal">
      <formula>$A$31</formula>
    </cfRule>
  </conditionalFormatting>
  <conditionalFormatting sqref="AW15">
    <cfRule type="cellIs" dxfId="318" priority="1404" stopIfTrue="1" operator="equal">
      <formula>$A$30</formula>
    </cfRule>
  </conditionalFormatting>
  <conditionalFormatting sqref="AW15">
    <cfRule type="cellIs" dxfId="317" priority="1403" stopIfTrue="1" operator="equal">
      <formula>$A$31</formula>
    </cfRule>
  </conditionalFormatting>
  <conditionalFormatting sqref="AW15">
    <cfRule type="cellIs" dxfId="316" priority="1402" stopIfTrue="1" operator="equal">
      <formula>$A$31</formula>
    </cfRule>
  </conditionalFormatting>
  <conditionalFormatting sqref="AW15">
    <cfRule type="cellIs" dxfId="315" priority="1401" stopIfTrue="1" operator="equal">
      <formula>$A$30</formula>
    </cfRule>
  </conditionalFormatting>
  <conditionalFormatting sqref="AU16">
    <cfRule type="cellIs" dxfId="314" priority="1400" stopIfTrue="1" operator="equal">
      <formula>$A$30</formula>
    </cfRule>
  </conditionalFormatting>
  <conditionalFormatting sqref="AU16">
    <cfRule type="cellIs" dxfId="313" priority="1399" stopIfTrue="1" operator="equal">
      <formula>$A$30</formula>
    </cfRule>
  </conditionalFormatting>
  <conditionalFormatting sqref="AU16">
    <cfRule type="cellIs" dxfId="312" priority="1398" stopIfTrue="1" operator="equal">
      <formula>$A$30</formula>
    </cfRule>
  </conditionalFormatting>
  <conditionalFormatting sqref="AU16">
    <cfRule type="cellIs" dxfId="311" priority="1397" stopIfTrue="1" operator="equal">
      <formula>$A$30</formula>
    </cfRule>
  </conditionalFormatting>
  <conditionalFormatting sqref="AU16">
    <cfRule type="cellIs" dxfId="310" priority="1396" stopIfTrue="1" operator="equal">
      <formula>$A$30</formula>
    </cfRule>
  </conditionalFormatting>
  <conditionalFormatting sqref="AU16">
    <cfRule type="cellIs" dxfId="309" priority="1395" stopIfTrue="1" operator="equal">
      <formula>$A$30</formula>
    </cfRule>
  </conditionalFormatting>
  <conditionalFormatting sqref="AU16">
    <cfRule type="cellIs" dxfId="308" priority="1394" stopIfTrue="1" operator="equal">
      <formula>$A$30</formula>
    </cfRule>
  </conditionalFormatting>
  <conditionalFormatting sqref="AU16">
    <cfRule type="cellIs" dxfId="307" priority="1393" stopIfTrue="1" operator="equal">
      <formula>$A$31</formula>
    </cfRule>
  </conditionalFormatting>
  <conditionalFormatting sqref="AU16">
    <cfRule type="cellIs" dxfId="306" priority="1392" stopIfTrue="1" operator="equal">
      <formula>$A$31</formula>
    </cfRule>
  </conditionalFormatting>
  <conditionalFormatting sqref="AU16">
    <cfRule type="cellIs" dxfId="305" priority="1391" stopIfTrue="1" operator="equal">
      <formula>$A$30</formula>
    </cfRule>
  </conditionalFormatting>
  <conditionalFormatting sqref="AU16">
    <cfRule type="cellIs" dxfId="304" priority="1390" stopIfTrue="1" operator="equal">
      <formula>$A$31</formula>
    </cfRule>
  </conditionalFormatting>
  <conditionalFormatting sqref="AU16">
    <cfRule type="cellIs" dxfId="303" priority="1389" stopIfTrue="1" operator="equal">
      <formula>$A$31</formula>
    </cfRule>
  </conditionalFormatting>
  <conditionalFormatting sqref="AU16">
    <cfRule type="cellIs" dxfId="302" priority="1388" stopIfTrue="1" operator="equal">
      <formula>$A$30</formula>
    </cfRule>
  </conditionalFormatting>
  <conditionalFormatting sqref="AU16">
    <cfRule type="cellIs" dxfId="301" priority="1387" stopIfTrue="1" operator="equal">
      <formula>$A$31</formula>
    </cfRule>
  </conditionalFormatting>
  <conditionalFormatting sqref="AU16">
    <cfRule type="cellIs" dxfId="300" priority="1386" stopIfTrue="1" operator="equal">
      <formula>$A$31</formula>
    </cfRule>
  </conditionalFormatting>
  <conditionalFormatting sqref="AU16">
    <cfRule type="cellIs" dxfId="299" priority="1385" stopIfTrue="1" operator="equal">
      <formula>$A$30</formula>
    </cfRule>
  </conditionalFormatting>
  <conditionalFormatting sqref="AU16">
    <cfRule type="cellIs" dxfId="298" priority="1384" stopIfTrue="1" operator="equal">
      <formula>$A$31</formula>
    </cfRule>
  </conditionalFormatting>
  <conditionalFormatting sqref="AU16">
    <cfRule type="cellIs" dxfId="297" priority="1383" stopIfTrue="1" operator="equal">
      <formula>$A$31</formula>
    </cfRule>
  </conditionalFormatting>
  <conditionalFormatting sqref="AU16">
    <cfRule type="cellIs" dxfId="296" priority="1382" stopIfTrue="1" operator="equal">
      <formula>$A$30</formula>
    </cfRule>
  </conditionalFormatting>
  <conditionalFormatting sqref="AU16">
    <cfRule type="cellIs" dxfId="295" priority="1381" stopIfTrue="1" operator="equal">
      <formula>$A$31</formula>
    </cfRule>
  </conditionalFormatting>
  <conditionalFormatting sqref="AU16">
    <cfRule type="cellIs" dxfId="294" priority="1380" stopIfTrue="1" operator="equal">
      <formula>$A$31</formula>
    </cfRule>
  </conditionalFormatting>
  <conditionalFormatting sqref="AU16">
    <cfRule type="cellIs" dxfId="293" priority="1379" stopIfTrue="1" operator="equal">
      <formula>$A$30</formula>
    </cfRule>
  </conditionalFormatting>
  <conditionalFormatting sqref="AU16">
    <cfRule type="cellIs" dxfId="292" priority="1378" stopIfTrue="1" operator="equal">
      <formula>$A$31</formula>
    </cfRule>
  </conditionalFormatting>
  <conditionalFormatting sqref="AU16">
    <cfRule type="cellIs" dxfId="291" priority="1377" stopIfTrue="1" operator="equal">
      <formula>$A$31</formula>
    </cfRule>
  </conditionalFormatting>
  <conditionalFormatting sqref="AU16">
    <cfRule type="cellIs" dxfId="290" priority="1376" stopIfTrue="1" operator="equal">
      <formula>$A$30</formula>
    </cfRule>
  </conditionalFormatting>
  <conditionalFormatting sqref="AU16">
    <cfRule type="cellIs" dxfId="289" priority="1375" stopIfTrue="1" operator="equal">
      <formula>$A$31</formula>
    </cfRule>
  </conditionalFormatting>
  <conditionalFormatting sqref="AU16">
    <cfRule type="cellIs" dxfId="288" priority="1374" stopIfTrue="1" operator="equal">
      <formula>$A$31</formula>
    </cfRule>
  </conditionalFormatting>
  <conditionalFormatting sqref="AU16">
    <cfRule type="cellIs" dxfId="287" priority="1373" stopIfTrue="1" operator="equal">
      <formula>$A$30</formula>
    </cfRule>
  </conditionalFormatting>
  <conditionalFormatting sqref="AW16">
    <cfRule type="cellIs" dxfId="286" priority="1372" stopIfTrue="1" operator="equal">
      <formula>$A$31</formula>
    </cfRule>
  </conditionalFormatting>
  <conditionalFormatting sqref="AW16">
    <cfRule type="cellIs" dxfId="285" priority="1371" stopIfTrue="1" operator="equal">
      <formula>$A$31</formula>
    </cfRule>
  </conditionalFormatting>
  <conditionalFormatting sqref="AW16">
    <cfRule type="cellIs" dxfId="284" priority="1370" stopIfTrue="1" operator="equal">
      <formula>$A$30</formula>
    </cfRule>
  </conditionalFormatting>
  <conditionalFormatting sqref="AW16">
    <cfRule type="cellIs" dxfId="283" priority="1369" stopIfTrue="1" operator="equal">
      <formula>$A$31</formula>
    </cfRule>
  </conditionalFormatting>
  <conditionalFormatting sqref="AW16">
    <cfRule type="cellIs" dxfId="282" priority="1368" stopIfTrue="1" operator="equal">
      <formula>$A$31</formula>
    </cfRule>
  </conditionalFormatting>
  <conditionalFormatting sqref="AW16">
    <cfRule type="cellIs" dxfId="281" priority="1367" stopIfTrue="1" operator="equal">
      <formula>$A$30</formula>
    </cfRule>
  </conditionalFormatting>
  <conditionalFormatting sqref="AW16">
    <cfRule type="cellIs" dxfId="280" priority="1366" stopIfTrue="1" operator="equal">
      <formula>$A$31</formula>
    </cfRule>
  </conditionalFormatting>
  <conditionalFormatting sqref="AW16">
    <cfRule type="cellIs" dxfId="279" priority="1365" stopIfTrue="1" operator="equal">
      <formula>$A$31</formula>
    </cfRule>
  </conditionalFormatting>
  <conditionalFormatting sqref="AW16">
    <cfRule type="cellIs" dxfId="278" priority="1364" stopIfTrue="1" operator="equal">
      <formula>$A$30</formula>
    </cfRule>
  </conditionalFormatting>
  <conditionalFormatting sqref="AW16">
    <cfRule type="cellIs" dxfId="277" priority="1363" stopIfTrue="1" operator="equal">
      <formula>$A$31</formula>
    </cfRule>
  </conditionalFormatting>
  <conditionalFormatting sqref="AW16">
    <cfRule type="cellIs" dxfId="276" priority="1362" stopIfTrue="1" operator="equal">
      <formula>$A$31</formula>
    </cfRule>
  </conditionalFormatting>
  <conditionalFormatting sqref="AW16">
    <cfRule type="cellIs" dxfId="275" priority="1361" stopIfTrue="1" operator="equal">
      <formula>$A$30</formula>
    </cfRule>
  </conditionalFormatting>
  <conditionalFormatting sqref="AW16">
    <cfRule type="cellIs" dxfId="274" priority="1360" stopIfTrue="1" operator="equal">
      <formula>$A$31</formula>
    </cfRule>
  </conditionalFormatting>
  <conditionalFormatting sqref="AW16">
    <cfRule type="cellIs" dxfId="273" priority="1359" stopIfTrue="1" operator="equal">
      <formula>$A$31</formula>
    </cfRule>
  </conditionalFormatting>
  <conditionalFormatting sqref="AW16">
    <cfRule type="cellIs" dxfId="272" priority="1358" stopIfTrue="1" operator="equal">
      <formula>$A$30</formula>
    </cfRule>
  </conditionalFormatting>
  <conditionalFormatting sqref="AW16">
    <cfRule type="cellIs" dxfId="271" priority="1357" stopIfTrue="1" operator="equal">
      <formula>$A$31</formula>
    </cfRule>
  </conditionalFormatting>
  <conditionalFormatting sqref="AW16">
    <cfRule type="cellIs" dxfId="270" priority="1356" stopIfTrue="1" operator="equal">
      <formula>$A$31</formula>
    </cfRule>
  </conditionalFormatting>
  <conditionalFormatting sqref="AW16">
    <cfRule type="cellIs" dxfId="269" priority="1355" stopIfTrue="1" operator="equal">
      <formula>$A$30</formula>
    </cfRule>
  </conditionalFormatting>
  <conditionalFormatting sqref="AW16">
    <cfRule type="cellIs" dxfId="268" priority="1354" stopIfTrue="1" operator="equal">
      <formula>$A$31</formula>
    </cfRule>
  </conditionalFormatting>
  <conditionalFormatting sqref="AW16">
    <cfRule type="cellIs" dxfId="267" priority="1353" stopIfTrue="1" operator="equal">
      <formula>$A$31</formula>
    </cfRule>
  </conditionalFormatting>
  <conditionalFormatting sqref="AW16">
    <cfRule type="cellIs" dxfId="266" priority="1352" stopIfTrue="1" operator="equal">
      <formula>$A$30</formula>
    </cfRule>
  </conditionalFormatting>
  <conditionalFormatting sqref="AU17">
    <cfRule type="cellIs" dxfId="265" priority="1351" stopIfTrue="1" operator="equal">
      <formula>$A$31</formula>
    </cfRule>
  </conditionalFormatting>
  <conditionalFormatting sqref="AU17">
    <cfRule type="cellIs" dxfId="264" priority="1350" stopIfTrue="1" operator="equal">
      <formula>$A$31</formula>
    </cfRule>
  </conditionalFormatting>
  <conditionalFormatting sqref="AU17">
    <cfRule type="cellIs" dxfId="263" priority="1349" stopIfTrue="1" operator="equal">
      <formula>$A$31</formula>
    </cfRule>
  </conditionalFormatting>
  <conditionalFormatting sqref="AU17">
    <cfRule type="cellIs" dxfId="262" priority="1348" stopIfTrue="1" operator="equal">
      <formula>$A$31</formula>
    </cfRule>
  </conditionalFormatting>
  <conditionalFormatting sqref="AU17">
    <cfRule type="cellIs" dxfId="261" priority="1347" stopIfTrue="1" operator="equal">
      <formula>$A$31</formula>
    </cfRule>
  </conditionalFormatting>
  <conditionalFormatting sqref="AU17">
    <cfRule type="cellIs" dxfId="260" priority="1346" stopIfTrue="1" operator="equal">
      <formula>$A$31</formula>
    </cfRule>
  </conditionalFormatting>
  <conditionalFormatting sqref="AU17">
    <cfRule type="cellIs" dxfId="259" priority="1345" stopIfTrue="1" operator="equal">
      <formula>$A$31</formula>
    </cfRule>
  </conditionalFormatting>
  <conditionalFormatting sqref="AU17">
    <cfRule type="cellIs" dxfId="258" priority="1344" stopIfTrue="1" operator="equal">
      <formula>$A$31</formula>
    </cfRule>
  </conditionalFormatting>
  <conditionalFormatting sqref="AU17">
    <cfRule type="cellIs" dxfId="257" priority="1343" stopIfTrue="1" operator="equal">
      <formula>$A$31</formula>
    </cfRule>
  </conditionalFormatting>
  <conditionalFormatting sqref="AU17">
    <cfRule type="cellIs" dxfId="256" priority="1342" stopIfTrue="1" operator="equal">
      <formula>$A$31</formula>
    </cfRule>
  </conditionalFormatting>
  <conditionalFormatting sqref="AU17">
    <cfRule type="cellIs" dxfId="255" priority="1341" stopIfTrue="1" operator="equal">
      <formula>$A$31</formula>
    </cfRule>
  </conditionalFormatting>
  <conditionalFormatting sqref="AU17">
    <cfRule type="cellIs" dxfId="254" priority="1340" stopIfTrue="1" operator="equal">
      <formula>$A$31</formula>
    </cfRule>
  </conditionalFormatting>
  <conditionalFormatting sqref="AU17">
    <cfRule type="cellIs" dxfId="253" priority="1339" stopIfTrue="1" operator="equal">
      <formula>$A$31</formula>
    </cfRule>
  </conditionalFormatting>
  <conditionalFormatting sqref="AU17">
    <cfRule type="cellIs" dxfId="252" priority="1338" stopIfTrue="1" operator="equal">
      <formula>$A$31</formula>
    </cfRule>
  </conditionalFormatting>
  <conditionalFormatting sqref="AW17">
    <cfRule type="cellIs" dxfId="251" priority="1337" stopIfTrue="1" operator="equal">
      <formula>$A$31</formula>
    </cfRule>
  </conditionalFormatting>
  <conditionalFormatting sqref="AW17">
    <cfRule type="cellIs" dxfId="250" priority="1336" stopIfTrue="1" operator="equal">
      <formula>$A$31</formula>
    </cfRule>
  </conditionalFormatting>
  <conditionalFormatting sqref="AW17">
    <cfRule type="cellIs" dxfId="249" priority="1335" stopIfTrue="1" operator="equal">
      <formula>$A$31</formula>
    </cfRule>
  </conditionalFormatting>
  <conditionalFormatting sqref="AW17">
    <cfRule type="cellIs" dxfId="248" priority="1334" stopIfTrue="1" operator="equal">
      <formula>$A$31</formula>
    </cfRule>
  </conditionalFormatting>
  <conditionalFormatting sqref="AW17">
    <cfRule type="cellIs" dxfId="247" priority="1333" stopIfTrue="1" operator="equal">
      <formula>$A$31</formula>
    </cfRule>
  </conditionalFormatting>
  <conditionalFormatting sqref="AW17">
    <cfRule type="cellIs" dxfId="246" priority="1332" stopIfTrue="1" operator="equal">
      <formula>$A$31</formula>
    </cfRule>
  </conditionalFormatting>
  <conditionalFormatting sqref="AW17">
    <cfRule type="cellIs" dxfId="245" priority="1331" stopIfTrue="1" operator="equal">
      <formula>$A$31</formula>
    </cfRule>
  </conditionalFormatting>
  <conditionalFormatting sqref="AW17">
    <cfRule type="cellIs" dxfId="244" priority="1330" stopIfTrue="1" operator="equal">
      <formula>$A$31</formula>
    </cfRule>
  </conditionalFormatting>
  <conditionalFormatting sqref="AW17">
    <cfRule type="cellIs" dxfId="243" priority="1329" stopIfTrue="1" operator="equal">
      <formula>$A$31</formula>
    </cfRule>
  </conditionalFormatting>
  <conditionalFormatting sqref="AW17">
    <cfRule type="cellIs" dxfId="242" priority="1328" stopIfTrue="1" operator="equal">
      <formula>$A$31</formula>
    </cfRule>
  </conditionalFormatting>
  <conditionalFormatting sqref="AW17">
    <cfRule type="cellIs" dxfId="241" priority="1327" stopIfTrue="1" operator="equal">
      <formula>$A$31</formula>
    </cfRule>
  </conditionalFormatting>
  <conditionalFormatting sqref="AW17">
    <cfRule type="cellIs" dxfId="240" priority="1326" stopIfTrue="1" operator="equal">
      <formula>$A$31</formula>
    </cfRule>
  </conditionalFormatting>
  <conditionalFormatting sqref="AW17">
    <cfRule type="cellIs" dxfId="239" priority="1325" stopIfTrue="1" operator="equal">
      <formula>$A$31</formula>
    </cfRule>
  </conditionalFormatting>
  <conditionalFormatting sqref="AW17">
    <cfRule type="cellIs" dxfId="238" priority="1324" stopIfTrue="1" operator="equal">
      <formula>$A$31</formula>
    </cfRule>
  </conditionalFormatting>
  <conditionalFormatting sqref="DG16">
    <cfRule type="cellIs" dxfId="237" priority="652" stopIfTrue="1" operator="equal">
      <formula>$A$30</formula>
    </cfRule>
  </conditionalFormatting>
  <conditionalFormatting sqref="DG8">
    <cfRule type="cellIs" dxfId="236" priority="649" stopIfTrue="1" operator="equal">
      <formula>$A$31</formula>
    </cfRule>
  </conditionalFormatting>
  <conditionalFormatting sqref="P15:R16">
    <cfRule type="cellIs" dxfId="235" priority="648" stopIfTrue="1" operator="equal">
      <formula>$A$30</formula>
    </cfRule>
  </conditionalFormatting>
  <conditionalFormatting sqref="DH8">
    <cfRule type="cellIs" dxfId="234" priority="647" stopIfTrue="1" operator="equal">
      <formula>$A$31</formula>
    </cfRule>
  </conditionalFormatting>
  <conditionalFormatting sqref="DI8">
    <cfRule type="cellIs" dxfId="233" priority="646" stopIfTrue="1" operator="equal">
      <formula>$A$31</formula>
    </cfRule>
  </conditionalFormatting>
  <conditionalFormatting sqref="DK8">
    <cfRule type="cellIs" dxfId="232" priority="641" stopIfTrue="1" operator="equal">
      <formula>$A$31</formula>
    </cfRule>
  </conditionalFormatting>
  <conditionalFormatting sqref="DL8">
    <cfRule type="cellIs" dxfId="231" priority="637" stopIfTrue="1" operator="equal">
      <formula>$A$31</formula>
    </cfRule>
  </conditionalFormatting>
  <conditionalFormatting sqref="BY12:BZ12">
    <cfRule type="cellIs" dxfId="230" priority="580" stopIfTrue="1" operator="equal">
      <formula>$A$31</formula>
    </cfRule>
  </conditionalFormatting>
  <conditionalFormatting sqref="BY11:BZ11">
    <cfRule type="cellIs" dxfId="229" priority="581" stopIfTrue="1" operator="equal">
      <formula>$A$30</formula>
    </cfRule>
  </conditionalFormatting>
  <conditionalFormatting sqref="BY17:BZ17">
    <cfRule type="cellIs" dxfId="228" priority="578" stopIfTrue="1" operator="equal">
      <formula>$A$31</formula>
    </cfRule>
  </conditionalFormatting>
  <conditionalFormatting sqref="BY16:BZ16">
    <cfRule type="cellIs" dxfId="227" priority="579" stopIfTrue="1" operator="equal">
      <formula>$A$30</formula>
    </cfRule>
  </conditionalFormatting>
  <conditionalFormatting sqref="DM1:DU1">
    <cfRule type="cellIs" dxfId="226" priority="573" stopIfTrue="1" operator="equal">
      <formula>$A$31</formula>
    </cfRule>
  </conditionalFormatting>
  <conditionalFormatting sqref="DM1:DU1">
    <cfRule type="cellIs" dxfId="225" priority="572" stopIfTrue="1" operator="equal">
      <formula>$A$31</formula>
    </cfRule>
  </conditionalFormatting>
  <conditionalFormatting sqref="DM1:DU1">
    <cfRule type="cellIs" dxfId="224" priority="571" stopIfTrue="1" operator="equal">
      <formula>$A$31</formula>
    </cfRule>
  </conditionalFormatting>
  <conditionalFormatting sqref="DM8:DU8">
    <cfRule type="cellIs" dxfId="223" priority="570" stopIfTrue="1" operator="equal">
      <formula>$A$31</formula>
    </cfRule>
  </conditionalFormatting>
  <conditionalFormatting sqref="DV8:DX8">
    <cfRule type="cellIs" dxfId="222" priority="557" stopIfTrue="1" operator="equal">
      <formula>$A$31</formula>
    </cfRule>
  </conditionalFormatting>
  <conditionalFormatting sqref="DV1">
    <cfRule type="cellIs" dxfId="221" priority="556" stopIfTrue="1" operator="equal">
      <formula>$A$31</formula>
    </cfRule>
  </conditionalFormatting>
  <conditionalFormatting sqref="DV1">
    <cfRule type="cellIs" dxfId="220" priority="555" stopIfTrue="1" operator="equal">
      <formula>$A$31</formula>
    </cfRule>
  </conditionalFormatting>
  <conditionalFormatting sqref="DV1">
    <cfRule type="cellIs" dxfId="219" priority="554" stopIfTrue="1" operator="equal">
      <formula>$A$31</formula>
    </cfRule>
  </conditionalFormatting>
  <conditionalFormatting sqref="DW1">
    <cfRule type="cellIs" dxfId="218" priority="550" stopIfTrue="1" operator="equal">
      <formula>$A$31</formula>
    </cfRule>
  </conditionalFormatting>
  <conditionalFormatting sqref="DW1">
    <cfRule type="cellIs" dxfId="217" priority="549" stopIfTrue="1" operator="equal">
      <formula>$A$31</formula>
    </cfRule>
  </conditionalFormatting>
  <conditionalFormatting sqref="DW1">
    <cfRule type="cellIs" dxfId="216" priority="548" stopIfTrue="1" operator="equal">
      <formula>$A$31</formula>
    </cfRule>
  </conditionalFormatting>
  <conditionalFormatting sqref="DX1">
    <cfRule type="cellIs" dxfId="215" priority="544" stopIfTrue="1" operator="equal">
      <formula>$A$31</formula>
    </cfRule>
  </conditionalFormatting>
  <conditionalFormatting sqref="DX1">
    <cfRule type="cellIs" dxfId="214" priority="543" stopIfTrue="1" operator="equal">
      <formula>$A$31</formula>
    </cfRule>
  </conditionalFormatting>
  <conditionalFormatting sqref="DX1">
    <cfRule type="cellIs" dxfId="213" priority="542" stopIfTrue="1" operator="equal">
      <formula>$A$31</formula>
    </cfRule>
  </conditionalFormatting>
  <conditionalFormatting sqref="DY1">
    <cfRule type="cellIs" dxfId="212" priority="538" stopIfTrue="1" operator="equal">
      <formula>$A$31</formula>
    </cfRule>
  </conditionalFormatting>
  <conditionalFormatting sqref="DY1">
    <cfRule type="cellIs" dxfId="211" priority="537" stopIfTrue="1" operator="equal">
      <formula>$A$31</formula>
    </cfRule>
  </conditionalFormatting>
  <conditionalFormatting sqref="DY1">
    <cfRule type="cellIs" dxfId="210" priority="536" stopIfTrue="1" operator="equal">
      <formula>$A$31</formula>
    </cfRule>
  </conditionalFormatting>
  <conditionalFormatting sqref="DY8">
    <cfRule type="cellIs" dxfId="209" priority="535" stopIfTrue="1" operator="equal">
      <formula>$A$31</formula>
    </cfRule>
  </conditionalFormatting>
  <conditionalFormatting sqref="DZ8:EA8">
    <cfRule type="cellIs" dxfId="208" priority="531" stopIfTrue="1" operator="equal">
      <formula>$A$31</formula>
    </cfRule>
  </conditionalFormatting>
  <conditionalFormatting sqref="DZ1">
    <cfRule type="cellIs" dxfId="207" priority="530" stopIfTrue="1" operator="equal">
      <formula>$A$31</formula>
    </cfRule>
  </conditionalFormatting>
  <conditionalFormatting sqref="DZ1">
    <cfRule type="cellIs" dxfId="206" priority="529" stopIfTrue="1" operator="equal">
      <formula>$A$31</formula>
    </cfRule>
  </conditionalFormatting>
  <conditionalFormatting sqref="DZ1">
    <cfRule type="cellIs" dxfId="205" priority="528" stopIfTrue="1" operator="equal">
      <formula>$A$31</formula>
    </cfRule>
  </conditionalFormatting>
  <conditionalFormatting sqref="EA1">
    <cfRule type="cellIs" dxfId="204" priority="524" stopIfTrue="1" operator="equal">
      <formula>$A$31</formula>
    </cfRule>
  </conditionalFormatting>
  <conditionalFormatting sqref="EA1">
    <cfRule type="cellIs" dxfId="203" priority="523" stopIfTrue="1" operator="equal">
      <formula>$A$31</formula>
    </cfRule>
  </conditionalFormatting>
  <conditionalFormatting sqref="EA1">
    <cfRule type="cellIs" dxfId="202" priority="522" stopIfTrue="1" operator="equal">
      <formula>$A$31</formula>
    </cfRule>
  </conditionalFormatting>
  <conditionalFormatting sqref="DM19:EJ19">
    <cfRule type="cellIs" dxfId="201" priority="518" stopIfTrue="1" operator="equal">
      <formula>$A$31</formula>
    </cfRule>
  </conditionalFormatting>
  <conditionalFormatting sqref="DM15:EA17">
    <cfRule type="cellIs" dxfId="200" priority="517" stopIfTrue="1" operator="equal">
      <formula>$A$31</formula>
    </cfRule>
  </conditionalFormatting>
  <conditionalFormatting sqref="DM13:EA14">
    <cfRule type="cellIs" dxfId="199" priority="513" stopIfTrue="1" operator="equal">
      <formula>$A$31</formula>
    </cfRule>
  </conditionalFormatting>
  <conditionalFormatting sqref="EB8:EJ8">
    <cfRule type="cellIs" dxfId="198" priority="507" stopIfTrue="1" operator="equal">
      <formula>$A$31</formula>
    </cfRule>
  </conditionalFormatting>
  <conditionalFormatting sqref="EB13:EG14">
    <cfRule type="cellIs" dxfId="197" priority="506" stopIfTrue="1" operator="equal">
      <formula>$A$31</formula>
    </cfRule>
  </conditionalFormatting>
  <conditionalFormatting sqref="EB9:EG9">
    <cfRule type="cellIs" dxfId="196" priority="503" stopIfTrue="1" operator="equal">
      <formula>$A$31</formula>
    </cfRule>
  </conditionalFormatting>
  <conditionalFormatting sqref="EH13:EJ14">
    <cfRule type="cellIs" dxfId="195" priority="493" stopIfTrue="1" operator="equal">
      <formula>$A$31</formula>
    </cfRule>
  </conditionalFormatting>
  <conditionalFormatting sqref="EH9:EJ9">
    <cfRule type="cellIs" dxfId="194" priority="490" stopIfTrue="1" operator="equal">
      <formula>$A$31</formula>
    </cfRule>
  </conditionalFormatting>
  <conditionalFormatting sqref="EK18:EN18">
    <cfRule type="cellIs" dxfId="193" priority="480" stopIfTrue="1" operator="equal">
      <formula>$A$31</formula>
    </cfRule>
  </conditionalFormatting>
  <conditionalFormatting sqref="EK19:EN19">
    <cfRule type="cellIs" dxfId="192" priority="479" stopIfTrue="1" operator="equal">
      <formula>$A$31</formula>
    </cfRule>
  </conditionalFormatting>
  <conditionalFormatting sqref="EK8">
    <cfRule type="cellIs" dxfId="191" priority="478" stopIfTrue="1" operator="equal">
      <formula>$A$31</formula>
    </cfRule>
  </conditionalFormatting>
  <conditionalFormatting sqref="EK13:EK14">
    <cfRule type="cellIs" dxfId="190" priority="477" stopIfTrue="1" operator="equal">
      <formula>$A$31</formula>
    </cfRule>
  </conditionalFormatting>
  <conditionalFormatting sqref="EK9">
    <cfRule type="cellIs" dxfId="189" priority="474" stopIfTrue="1" operator="equal">
      <formula>$A$31</formula>
    </cfRule>
  </conditionalFormatting>
  <conditionalFormatting sqref="EL16:EL17">
    <cfRule type="cellIs" dxfId="188" priority="458" stopIfTrue="1" operator="equal">
      <formula>$A$31</formula>
    </cfRule>
  </conditionalFormatting>
  <conditionalFormatting sqref="EL8">
    <cfRule type="cellIs" dxfId="187" priority="457" stopIfTrue="1" operator="equal">
      <formula>$A$31</formula>
    </cfRule>
  </conditionalFormatting>
  <conditionalFormatting sqref="EL13:EL14">
    <cfRule type="cellIs" dxfId="186" priority="456" stopIfTrue="1" operator="equal">
      <formula>$A$31</formula>
    </cfRule>
  </conditionalFormatting>
  <conditionalFormatting sqref="EL9">
    <cfRule type="cellIs" dxfId="185" priority="453" stopIfTrue="1" operator="equal">
      <formula>$A$31</formula>
    </cfRule>
  </conditionalFormatting>
  <conditionalFormatting sqref="EL15">
    <cfRule type="cellIs" dxfId="184" priority="443" stopIfTrue="1" operator="equal">
      <formula>$A$31</formula>
    </cfRule>
  </conditionalFormatting>
  <conditionalFormatting sqref="EM16:EM17">
    <cfRule type="cellIs" dxfId="183" priority="440" stopIfTrue="1" operator="equal">
      <formula>$A$31</formula>
    </cfRule>
  </conditionalFormatting>
  <conditionalFormatting sqref="EM8">
    <cfRule type="cellIs" dxfId="182" priority="439" stopIfTrue="1" operator="equal">
      <formula>$A$31</formula>
    </cfRule>
  </conditionalFormatting>
  <conditionalFormatting sqref="EM14">
    <cfRule type="cellIs" dxfId="181" priority="438" stopIfTrue="1" operator="equal">
      <formula>$A$31</formula>
    </cfRule>
  </conditionalFormatting>
  <conditionalFormatting sqref="EM9">
    <cfRule type="cellIs" dxfId="180" priority="435" stopIfTrue="1" operator="equal">
      <formula>$A$31</formula>
    </cfRule>
  </conditionalFormatting>
  <conditionalFormatting sqref="EM15">
    <cfRule type="cellIs" dxfId="179" priority="425" stopIfTrue="1" operator="equal">
      <formula>$A$31</formula>
    </cfRule>
  </conditionalFormatting>
  <conditionalFormatting sqref="EN16:EN17">
    <cfRule type="cellIs" dxfId="178" priority="422" stopIfTrue="1" operator="equal">
      <formula>$A$31</formula>
    </cfRule>
  </conditionalFormatting>
  <conditionalFormatting sqref="EN8">
    <cfRule type="cellIs" dxfId="177" priority="421" stopIfTrue="1" operator="equal">
      <formula>$A$31</formula>
    </cfRule>
  </conditionalFormatting>
  <conditionalFormatting sqref="EN14">
    <cfRule type="cellIs" dxfId="176" priority="420" stopIfTrue="1" operator="equal">
      <formula>$A$31</formula>
    </cfRule>
  </conditionalFormatting>
  <conditionalFormatting sqref="EN9">
    <cfRule type="cellIs" dxfId="175" priority="417" stopIfTrue="1" operator="equal">
      <formula>$A$31</formula>
    </cfRule>
  </conditionalFormatting>
  <conditionalFormatting sqref="EN15">
    <cfRule type="cellIs" dxfId="174" priority="407" stopIfTrue="1" operator="equal">
      <formula>$A$31</formula>
    </cfRule>
  </conditionalFormatting>
  <conditionalFormatting sqref="EO16">
    <cfRule type="cellIs" dxfId="173" priority="335" stopIfTrue="1" operator="equal">
      <formula>$A$30</formula>
    </cfRule>
  </conditionalFormatting>
  <conditionalFormatting sqref="EO15">
    <cfRule type="cellIs" dxfId="172" priority="334" stopIfTrue="1" operator="equal">
      <formula>$A$30</formula>
    </cfRule>
  </conditionalFormatting>
  <conditionalFormatting sqref="EO19">
    <cfRule type="cellIs" dxfId="171" priority="299" stopIfTrue="1" operator="equal">
      <formula>$A$31</formula>
    </cfRule>
  </conditionalFormatting>
  <conditionalFormatting sqref="EO13">
    <cfRule type="cellIs" dxfId="170" priority="298" stopIfTrue="1" operator="equal">
      <formula>$A$31</formula>
    </cfRule>
  </conditionalFormatting>
  <conditionalFormatting sqref="EO18">
    <cfRule type="cellIs" dxfId="169" priority="297" stopIfTrue="1" operator="equal">
      <formula>$A$31</formula>
    </cfRule>
  </conditionalFormatting>
  <conditionalFormatting sqref="EP16">
    <cfRule type="cellIs" dxfId="168" priority="286" stopIfTrue="1" operator="equal">
      <formula>$A$30</formula>
    </cfRule>
  </conditionalFormatting>
  <conditionalFormatting sqref="EP15">
    <cfRule type="cellIs" dxfId="167" priority="285" stopIfTrue="1" operator="equal">
      <formula>$A$30</formula>
    </cfRule>
  </conditionalFormatting>
  <conditionalFormatting sqref="EP19">
    <cfRule type="cellIs" dxfId="166" priority="250" stopIfTrue="1" operator="equal">
      <formula>$A$31</formula>
    </cfRule>
  </conditionalFormatting>
  <conditionalFormatting sqref="EP13">
    <cfRule type="cellIs" dxfId="165" priority="249" stopIfTrue="1" operator="equal">
      <formula>$A$31</formula>
    </cfRule>
  </conditionalFormatting>
  <conditionalFormatting sqref="EP18">
    <cfRule type="cellIs" dxfId="164" priority="248" stopIfTrue="1" operator="equal">
      <formula>$A$31</formula>
    </cfRule>
  </conditionalFormatting>
  <conditionalFormatting sqref="EQ16">
    <cfRule type="cellIs" dxfId="163" priority="237" stopIfTrue="1" operator="equal">
      <formula>$A$30</formula>
    </cfRule>
  </conditionalFormatting>
  <conditionalFormatting sqref="EQ15">
    <cfRule type="cellIs" dxfId="162" priority="236" stopIfTrue="1" operator="equal">
      <formula>$A$30</formula>
    </cfRule>
  </conditionalFormatting>
  <conditionalFormatting sqref="EQ19">
    <cfRule type="cellIs" dxfId="161" priority="201" stopIfTrue="1" operator="equal">
      <formula>$A$31</formula>
    </cfRule>
  </conditionalFormatting>
  <conditionalFormatting sqref="EQ13">
    <cfRule type="cellIs" dxfId="160" priority="200" stopIfTrue="1" operator="equal">
      <formula>$A$31</formula>
    </cfRule>
  </conditionalFormatting>
  <conditionalFormatting sqref="EQ18">
    <cfRule type="cellIs" dxfId="159" priority="199" stopIfTrue="1" operator="equal">
      <formula>$A$31</formula>
    </cfRule>
  </conditionalFormatting>
  <conditionalFormatting sqref="ER16">
    <cfRule type="cellIs" dxfId="158" priority="188" stopIfTrue="1" operator="equal">
      <formula>$A$30</formula>
    </cfRule>
  </conditionalFormatting>
  <conditionalFormatting sqref="ER15">
    <cfRule type="cellIs" dxfId="157" priority="187" stopIfTrue="1" operator="equal">
      <formula>$A$30</formula>
    </cfRule>
  </conditionalFormatting>
  <conditionalFormatting sqref="ER19">
    <cfRule type="cellIs" dxfId="156" priority="152" stopIfTrue="1" operator="equal">
      <formula>$A$31</formula>
    </cfRule>
  </conditionalFormatting>
  <conditionalFormatting sqref="ER13">
    <cfRule type="cellIs" dxfId="155" priority="151" stopIfTrue="1" operator="equal">
      <formula>$A$31</formula>
    </cfRule>
  </conditionalFormatting>
  <conditionalFormatting sqref="ER18">
    <cfRule type="cellIs" dxfId="154" priority="150" stopIfTrue="1" operator="equal">
      <formula>$A$31</formula>
    </cfRule>
  </conditionalFormatting>
  <conditionalFormatting sqref="ES8">
    <cfRule type="cellIs" dxfId="153" priority="149" stopIfTrue="1" operator="equal">
      <formula>$A$31</formula>
    </cfRule>
  </conditionalFormatting>
  <conditionalFormatting sqref="ES14">
    <cfRule type="cellIs" dxfId="152" priority="148" stopIfTrue="1" operator="equal">
      <formula>$A$31</formula>
    </cfRule>
  </conditionalFormatting>
  <conditionalFormatting sqref="ES11">
    <cfRule type="cellIs" dxfId="151" priority="143" stopIfTrue="1" operator="equal">
      <formula>$A$30</formula>
    </cfRule>
  </conditionalFormatting>
  <conditionalFormatting sqref="ES15:ES17">
    <cfRule type="cellIs" dxfId="150" priority="134" stopIfTrue="1" operator="equal">
      <formula>$A$31</formula>
    </cfRule>
  </conditionalFormatting>
  <conditionalFormatting sqref="ES16">
    <cfRule type="cellIs" dxfId="149" priority="135" stopIfTrue="1" operator="equal">
      <formula>$A$30</formula>
    </cfRule>
  </conditionalFormatting>
  <conditionalFormatting sqref="ES16">
    <cfRule type="cellIs" dxfId="148" priority="133" stopIfTrue="1" operator="equal">
      <formula>$A$30</formula>
    </cfRule>
  </conditionalFormatting>
  <conditionalFormatting sqref="ES15">
    <cfRule type="cellIs" dxfId="147" priority="132" stopIfTrue="1" operator="equal">
      <formula>$A$30</formula>
    </cfRule>
  </conditionalFormatting>
  <conditionalFormatting sqref="ES13">
    <cfRule type="cellIs" dxfId="146" priority="89" stopIfTrue="1" operator="equal">
      <formula>$A$31</formula>
    </cfRule>
  </conditionalFormatting>
  <conditionalFormatting sqref="ES18">
    <cfRule type="cellIs" dxfId="145" priority="88" stopIfTrue="1" operator="equal">
      <formula>$A$31</formula>
    </cfRule>
  </conditionalFormatting>
  <conditionalFormatting sqref="ET8">
    <cfRule type="cellIs" dxfId="144" priority="87" stopIfTrue="1" operator="equal">
      <formula>$A$31</formula>
    </cfRule>
  </conditionalFormatting>
  <conditionalFormatting sqref="ET14">
    <cfRule type="cellIs" dxfId="143" priority="86" stopIfTrue="1" operator="equal">
      <formula>$A$31</formula>
    </cfRule>
  </conditionalFormatting>
  <conditionalFormatting sqref="ET13">
    <cfRule type="cellIs" dxfId="142" priority="81" stopIfTrue="1" operator="equal">
      <formula>$A$31</formula>
    </cfRule>
  </conditionalFormatting>
  <conditionalFormatting sqref="EU8">
    <cfRule type="cellIs" dxfId="141" priority="80" stopIfTrue="1" operator="equal">
      <formula>$A$31</formula>
    </cfRule>
  </conditionalFormatting>
  <conditionalFormatting sqref="EU14">
    <cfRule type="cellIs" dxfId="140" priority="79" stopIfTrue="1" operator="equal">
      <formula>$A$31</formula>
    </cfRule>
  </conditionalFormatting>
  <conditionalFormatting sqref="EU13">
    <cfRule type="cellIs" dxfId="139" priority="74" stopIfTrue="1" operator="equal">
      <formula>$A$31</formula>
    </cfRule>
  </conditionalFormatting>
  <conditionalFormatting sqref="EU18">
    <cfRule type="cellIs" dxfId="138" priority="73" stopIfTrue="1" operator="equal">
      <formula>$A$31</formula>
    </cfRule>
  </conditionalFormatting>
  <conditionalFormatting sqref="EV13">
    <cfRule type="cellIs" dxfId="137" priority="59" stopIfTrue="1" operator="equal">
      <formula>$A$31</formula>
    </cfRule>
  </conditionalFormatting>
  <conditionalFormatting sqref="EV11">
    <cfRule type="cellIs" dxfId="136" priority="57" stopIfTrue="1" operator="equal">
      <formula>$A$30</formula>
    </cfRule>
  </conditionalFormatting>
  <conditionalFormatting sqref="EV8">
    <cfRule type="cellIs" dxfId="135" priority="52" stopIfTrue="1" operator="equal">
      <formula>$A$31</formula>
    </cfRule>
  </conditionalFormatting>
  <conditionalFormatting sqref="EW13">
    <cfRule type="cellIs" dxfId="134" priority="51" stopIfTrue="1" operator="equal">
      <formula>$A$31</formula>
    </cfRule>
  </conditionalFormatting>
  <conditionalFormatting sqref="EW8">
    <cfRule type="cellIs" dxfId="133" priority="50" stopIfTrue="1" operator="equal">
      <formula>$A$31</formula>
    </cfRule>
  </conditionalFormatting>
  <conditionalFormatting sqref="EW11">
    <cfRule type="cellIs" dxfId="132" priority="49" stopIfTrue="1" operator="equal">
      <formula>$A$30</formula>
    </cfRule>
  </conditionalFormatting>
  <conditionalFormatting sqref="EX8">
    <cfRule type="cellIs" dxfId="131" priority="44" stopIfTrue="1" operator="equal">
      <formula>$A$31</formula>
    </cfRule>
  </conditionalFormatting>
  <conditionalFormatting sqref="EX13">
    <cfRule type="cellIs" dxfId="130" priority="43" stopIfTrue="1" operator="equal">
      <formula>$A$31</formula>
    </cfRule>
  </conditionalFormatting>
  <conditionalFormatting sqref="EX18">
    <cfRule type="cellIs" dxfId="129" priority="42" stopIfTrue="1" operator="equal">
      <formula>$A$31</formula>
    </cfRule>
  </conditionalFormatting>
  <conditionalFormatting sqref="EX16:EX17">
    <cfRule type="cellIs" dxfId="128" priority="40" stopIfTrue="1" operator="equal">
      <formula>$A$31</formula>
    </cfRule>
  </conditionalFormatting>
  <conditionalFormatting sqref="EX14">
    <cfRule type="cellIs" dxfId="127" priority="39" stopIfTrue="1" operator="equal">
      <formula>$A$31</formula>
    </cfRule>
  </conditionalFormatting>
  <conditionalFormatting sqref="EX9">
    <cfRule type="cellIs" dxfId="126" priority="36" stopIfTrue="1" operator="equal">
      <formula>$A$31</formula>
    </cfRule>
  </conditionalFormatting>
  <conditionalFormatting sqref="EX15">
    <cfRule type="cellIs" dxfId="125" priority="26" stopIfTrue="1" operator="equal">
      <formula>$A$31</formula>
    </cfRule>
  </conditionalFormatting>
  <conditionalFormatting sqref="EY8">
    <cfRule type="cellIs" dxfId="124" priority="22" stopIfTrue="1" operator="equal">
      <formula>$A$31</formula>
    </cfRule>
  </conditionalFormatting>
  <conditionalFormatting sqref="EY13">
    <cfRule type="cellIs" dxfId="123" priority="21" stopIfTrue="1" operator="equal">
      <formula>$A$31</formula>
    </cfRule>
  </conditionalFormatting>
  <conditionalFormatting sqref="EY18">
    <cfRule type="cellIs" dxfId="122" priority="20" stopIfTrue="1" operator="equal">
      <formula>$A$31</formula>
    </cfRule>
  </conditionalFormatting>
  <conditionalFormatting sqref="EY16:EY17">
    <cfRule type="cellIs" dxfId="121" priority="18" stopIfTrue="1" operator="equal">
      <formula>$A$31</formula>
    </cfRule>
  </conditionalFormatting>
  <conditionalFormatting sqref="EY14">
    <cfRule type="cellIs" dxfId="120" priority="17" stopIfTrue="1" operator="equal">
      <formula>$A$31</formula>
    </cfRule>
  </conditionalFormatting>
  <conditionalFormatting sqref="EY9">
    <cfRule type="cellIs" dxfId="119" priority="14" stopIfTrue="1" operator="equal">
      <formula>$A$31</formula>
    </cfRule>
  </conditionalFormatting>
  <conditionalFormatting sqref="EY15">
    <cfRule type="cellIs" dxfId="118" priority="4" stopIfTrue="1" operator="equal">
      <formula>$A$31</formula>
    </cfRule>
  </conditionalFormatting>
  <conditionalFormatting sqref="I10:R10">
    <cfRule type="cellIs" dxfId="117" priority="3816" stopIfTrue="1" operator="equal">
      <formula>$B$30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ANDALUCIA</v>
      </c>
    </row>
    <row r="2" spans="1:75" ht="16.5" customHeight="1">
      <c r="C2" s="491" t="str">
        <f>Criterios!A10 &amp;"  "&amp;Criterios!B10 &amp; "  " &amp; IF(NOT(ISBLANK(Criterios!A11)),Criterios!A11 &amp;"  "&amp;Criterios!B11,"")</f>
        <v>Provincias  SEVILLA  Resumenes por Partidos Judiciales  CARMONA</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54" t="s">
        <v>354</v>
      </c>
      <c r="B5" s="275"/>
      <c r="C5" s="1254"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566</v>
      </c>
      <c r="L5" s="1480" t="s">
        <v>534</v>
      </c>
      <c r="M5" s="1483" t="s">
        <v>592</v>
      </c>
      <c r="N5" s="1480" t="s">
        <v>723</v>
      </c>
      <c r="O5" s="1480" t="s">
        <v>683</v>
      </c>
      <c r="P5" s="1480" t="s">
        <v>170</v>
      </c>
      <c r="Q5" s="1486" t="s">
        <v>680</v>
      </c>
      <c r="R5" s="1486" t="s">
        <v>724</v>
      </c>
      <c r="S5" s="1480" t="s">
        <v>595</v>
      </c>
      <c r="T5" s="1486" t="s">
        <v>567</v>
      </c>
      <c r="U5" s="1486" t="s">
        <v>775</v>
      </c>
      <c r="V5" s="1486" t="s">
        <v>776</v>
      </c>
      <c r="W5" s="1497" t="s">
        <v>617</v>
      </c>
      <c r="X5" s="1515" t="s">
        <v>568</v>
      </c>
      <c r="Y5" s="1497" t="s">
        <v>569</v>
      </c>
      <c r="Z5" s="1497" t="s">
        <v>570</v>
      </c>
      <c r="AA5" s="1480" t="s">
        <v>684</v>
      </c>
      <c r="AB5" s="1480" t="s">
        <v>689</v>
      </c>
      <c r="AC5" s="1480" t="s">
        <v>184</v>
      </c>
      <c r="AD5" s="1503" t="s">
        <v>182</v>
      </c>
      <c r="AE5" s="1480" t="s">
        <v>685</v>
      </c>
      <c r="AF5" s="1506" t="s">
        <v>686</v>
      </c>
      <c r="AG5" s="1509" t="s">
        <v>543</v>
      </c>
      <c r="AH5" s="1480" t="s">
        <v>544</v>
      </c>
      <c r="AI5" s="1480" t="s">
        <v>615</v>
      </c>
      <c r="AJ5" s="1512" t="s">
        <v>616</v>
      </c>
      <c r="AK5" s="1509" t="s">
        <v>185</v>
      </c>
      <c r="AL5" s="1480" t="s">
        <v>574</v>
      </c>
      <c r="AM5" s="1480" t="s">
        <v>250</v>
      </c>
      <c r="AN5" s="1480" t="s">
        <v>251</v>
      </c>
      <c r="AO5" s="1480" t="s">
        <v>252</v>
      </c>
      <c r="AP5" s="1480" t="s">
        <v>575</v>
      </c>
      <c r="AQ5" s="1480" t="s">
        <v>253</v>
      </c>
      <c r="AR5" s="1480" t="s">
        <v>576</v>
      </c>
      <c r="AS5" s="1480" t="s">
        <v>577</v>
      </c>
      <c r="AT5" s="1480" t="s">
        <v>578</v>
      </c>
      <c r="AU5" s="1480" t="s">
        <v>603</v>
      </c>
      <c r="AV5" s="1480" t="s">
        <v>596</v>
      </c>
      <c r="AW5" s="1480" t="s">
        <v>846</v>
      </c>
      <c r="AX5" s="1480" t="s">
        <v>849</v>
      </c>
      <c r="AY5" s="1480" t="s">
        <v>851</v>
      </c>
      <c r="AZ5" s="1480" t="s">
        <v>597</v>
      </c>
      <c r="BA5" s="1480" t="s">
        <v>881</v>
      </c>
      <c r="BB5" s="1480" t="s">
        <v>579</v>
      </c>
      <c r="BC5" s="1480" t="s">
        <v>542</v>
      </c>
      <c r="BW5" s="1480" t="s">
        <v>777</v>
      </c>
    </row>
    <row r="6" spans="1:75" ht="21.75" customHeight="1">
      <c r="A6" s="1534"/>
      <c r="B6" s="662"/>
      <c r="C6" s="1536"/>
      <c r="D6" s="1481"/>
      <c r="E6" s="1481"/>
      <c r="F6" s="1492"/>
      <c r="G6" s="1481"/>
      <c r="H6" s="1481"/>
      <c r="I6" s="1481"/>
      <c r="J6" s="1481"/>
      <c r="K6" s="1481"/>
      <c r="L6" s="1481"/>
      <c r="M6" s="1484"/>
      <c r="N6" s="1481"/>
      <c r="O6" s="1481"/>
      <c r="P6" s="1481"/>
      <c r="Q6" s="1487"/>
      <c r="R6" s="1487"/>
      <c r="S6" s="1481"/>
      <c r="T6" s="1487"/>
      <c r="U6" s="1487"/>
      <c r="V6" s="1487"/>
      <c r="W6" s="1498"/>
      <c r="X6" s="1516"/>
      <c r="Y6" s="1498"/>
      <c r="Z6" s="1498"/>
      <c r="AA6" s="1481"/>
      <c r="AB6" s="1481"/>
      <c r="AC6" s="1481"/>
      <c r="AD6" s="1504"/>
      <c r="AE6" s="1481"/>
      <c r="AF6" s="1507"/>
      <c r="AG6" s="1510"/>
      <c r="AH6" s="1481"/>
      <c r="AI6" s="1481"/>
      <c r="AJ6" s="1513"/>
      <c r="AK6" s="1510"/>
      <c r="AL6" s="1481"/>
      <c r="AM6" s="1481"/>
      <c r="AN6" s="1481"/>
      <c r="AO6" s="1481"/>
      <c r="AP6" s="1481"/>
      <c r="AQ6" s="1481"/>
      <c r="AR6" s="1481"/>
      <c r="AS6" s="1481"/>
      <c r="AT6" s="1481"/>
      <c r="AU6" s="1481"/>
      <c r="AV6" s="1481"/>
      <c r="AW6" s="1481"/>
      <c r="AX6" s="1481"/>
      <c r="AY6" s="1481"/>
      <c r="AZ6" s="1481"/>
      <c r="BA6" s="1481"/>
      <c r="BB6" s="1481"/>
      <c r="BC6" s="1481"/>
      <c r="BW6" s="1481"/>
    </row>
    <row r="7" spans="1:75" ht="38.25" customHeight="1" thickBot="1">
      <c r="A7" s="1535"/>
      <c r="B7" s="663"/>
      <c r="C7" s="664" t="str">
        <f>DatosP!A7</f>
        <v>COMPETENCIAS</v>
      </c>
      <c r="D7" s="1482"/>
      <c r="E7" s="1482"/>
      <c r="F7" s="1493"/>
      <c r="G7" s="1482"/>
      <c r="H7" s="1482"/>
      <c r="I7" s="1482"/>
      <c r="J7" s="1482"/>
      <c r="K7" s="1482"/>
      <c r="L7" s="1482"/>
      <c r="M7" s="1485"/>
      <c r="N7" s="1482"/>
      <c r="O7" s="1482"/>
      <c r="P7" s="1482"/>
      <c r="Q7" s="1488"/>
      <c r="R7" s="1488"/>
      <c r="S7" s="1482"/>
      <c r="T7" s="1488"/>
      <c r="U7" s="1488"/>
      <c r="V7" s="1488"/>
      <c r="W7" s="1499"/>
      <c r="X7" s="1517"/>
      <c r="Y7" s="1499"/>
      <c r="Z7" s="1499"/>
      <c r="AA7" s="1482"/>
      <c r="AB7" s="1482"/>
      <c r="AC7" s="1482"/>
      <c r="AD7" s="1505"/>
      <c r="AE7" s="1482"/>
      <c r="AF7" s="1508"/>
      <c r="AG7" s="1511"/>
      <c r="AH7" s="1482"/>
      <c r="AI7" s="1482"/>
      <c r="AJ7" s="1514"/>
      <c r="AK7" s="1511"/>
      <c r="AL7" s="1482"/>
      <c r="AM7" s="1482"/>
      <c r="AN7" s="1482"/>
      <c r="AO7" s="1482"/>
      <c r="AP7" s="1482"/>
      <c r="AQ7" s="1482"/>
      <c r="AR7" s="1482"/>
      <c r="AS7" s="1482"/>
      <c r="AT7" s="1482"/>
      <c r="AU7" s="1482"/>
      <c r="AV7" s="1482"/>
      <c r="AW7" s="1482"/>
      <c r="AX7" s="1482"/>
      <c r="AY7" s="1482"/>
      <c r="AZ7" s="1482"/>
      <c r="BA7" s="1482"/>
      <c r="BB7" s="1482"/>
      <c r="BC7" s="1482"/>
      <c r="BW7" s="1482"/>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249</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249</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249</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249</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0.24943310657596371</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400</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400</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400</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267</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268</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0.17637584111229077</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428</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265</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266</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07 mar. 2024</v>
      </c>
    </row>
    <row r="32" spans="1:75">
      <c r="C32" s="777"/>
      <c r="D32" s="777"/>
    </row>
  </sheetData>
  <sheetProtection algorithmName="SHA-512" hashValue="qo5Yu+wkIl8BVACGuunqOoCfrNmS8G/8P6E96Di76mLn52pmCj3vA8q9iRe4MOOl7KB2tPOjMUF4FL5EkpNMoQ==" saltValue="AWUgtibbRTkkRCxMys74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2 F15:F17">
    <cfRule type="expression" dxfId="116" priority="280" stopIfTrue="1">
      <formula>IF(F9&lt;&gt;G9,TRUE,FALSE)</formula>
    </cfRule>
  </conditionalFormatting>
  <conditionalFormatting sqref="G10 G15:G17">
    <cfRule type="cellIs" dxfId="115" priority="281" stopIfTrue="1" operator="notBetween">
      <formula>$G$25</formula>
      <formula>$G$26</formula>
    </cfRule>
  </conditionalFormatting>
  <conditionalFormatting sqref="F9:F12 F15:F17">
    <cfRule type="cellIs" dxfId="114" priority="282" stopIfTrue="1" operator="notBetween">
      <formula>$F$25</formula>
      <formula>$F$26</formula>
    </cfRule>
  </conditionalFormatting>
  <conditionalFormatting sqref="I9:I12 I15:I17">
    <cfRule type="cellIs" dxfId="113" priority="287" stopIfTrue="1" operator="notBetween">
      <formula>$I$25</formula>
      <formula>$I$26</formula>
    </cfRule>
  </conditionalFormatting>
  <conditionalFormatting sqref="K9:K12 K15:K17">
    <cfRule type="cellIs" dxfId="112" priority="267" stopIfTrue="1" operator="notBetween">
      <formula>$K$25</formula>
      <formula>$K$26</formula>
    </cfRule>
  </conditionalFormatting>
  <conditionalFormatting sqref="M9:M12 M15:M17">
    <cfRule type="cellIs" dxfId="111" priority="266" stopIfTrue="1" operator="notBetween">
      <formula>$M$25</formula>
      <formula>$M$26</formula>
    </cfRule>
  </conditionalFormatting>
  <conditionalFormatting sqref="P9:P12 P15:P17">
    <cfRule type="cellIs" dxfId="110" priority="265" stopIfTrue="1" operator="notBetween">
      <formula>$P$25</formula>
      <formula>$P$26</formula>
    </cfRule>
  </conditionalFormatting>
  <conditionalFormatting sqref="H9:H12 H15:H17">
    <cfRule type="cellIs" dxfId="109" priority="264" stopIfTrue="1" operator="notBetween">
      <formula>$H$25</formula>
      <formula>$H$26</formula>
    </cfRule>
  </conditionalFormatting>
  <conditionalFormatting sqref="R9:R12 R15:R17">
    <cfRule type="cellIs" dxfId="108" priority="263" stopIfTrue="1" operator="notBetween">
      <formula>$R$25</formula>
      <formula>$R$26</formula>
    </cfRule>
  </conditionalFormatting>
  <conditionalFormatting sqref="S9:S12 S15:S17">
    <cfRule type="cellIs" dxfId="107" priority="262" stopIfTrue="1" operator="notBetween">
      <formula>$S$25</formula>
      <formula>$S$26</formula>
    </cfRule>
  </conditionalFormatting>
  <conditionalFormatting sqref="T9:T12 T15:T17">
    <cfRule type="cellIs" dxfId="106" priority="261" stopIfTrue="1" operator="notBetween">
      <formula>$T$25</formula>
      <formula>$T$26</formula>
    </cfRule>
  </conditionalFormatting>
  <conditionalFormatting sqref="W15:W17 W9:W12">
    <cfRule type="cellIs" dxfId="105" priority="259" stopIfTrue="1" operator="notBetween">
      <formula>$W$25</formula>
      <formula>$W$26</formula>
    </cfRule>
  </conditionalFormatting>
  <conditionalFormatting sqref="X9:X12 X15:X17">
    <cfRule type="cellIs" dxfId="104" priority="257" stopIfTrue="1" operator="notBetween">
      <formula>$X$25</formula>
      <formula>$X$26</formula>
    </cfRule>
  </conditionalFormatting>
  <conditionalFormatting sqref="Y9:Y12 Y15:Y17">
    <cfRule type="cellIs" dxfId="103" priority="256" stopIfTrue="1" operator="notBetween">
      <formula>$Y$25</formula>
      <formula>$Y$26</formula>
    </cfRule>
  </conditionalFormatting>
  <conditionalFormatting sqref="AA9:AA12 AA15:AA17">
    <cfRule type="cellIs" dxfId="102" priority="255" stopIfTrue="1" operator="notBetween">
      <formula>$AA$25</formula>
      <formula>$AA$26</formula>
    </cfRule>
  </conditionalFormatting>
  <conditionalFormatting sqref="AB15:AB17 AB9:AB12">
    <cfRule type="cellIs" dxfId="101" priority="254" stopIfTrue="1" operator="notBetween">
      <formula>$AB$25</formula>
      <formula>$AB$26</formula>
    </cfRule>
  </conditionalFormatting>
  <conditionalFormatting sqref="AC9:AC12 AC15:AC17">
    <cfRule type="cellIs" dxfId="100" priority="248" stopIfTrue="1" operator="notBetween">
      <formula>$AC$25</formula>
      <formula>$AC$26</formula>
    </cfRule>
  </conditionalFormatting>
  <conditionalFormatting sqref="AD9:AD12 AD15:AD17">
    <cfRule type="cellIs" dxfId="99" priority="247" stopIfTrue="1" operator="notBetween">
      <formula>$AD$25</formula>
      <formula>$AD$26</formula>
    </cfRule>
  </conditionalFormatting>
  <conditionalFormatting sqref="AE9:AE12 AE15:AE17">
    <cfRule type="cellIs" dxfId="98" priority="246" stopIfTrue="1" operator="notBetween">
      <formula>$AE$25</formula>
      <formula>$AE$26</formula>
    </cfRule>
  </conditionalFormatting>
  <conditionalFormatting sqref="AF9:AF12 AF15:AF17">
    <cfRule type="cellIs" dxfId="97" priority="245" stopIfTrue="1" operator="notBetween">
      <formula>$AF$25</formula>
      <formula>$AF$26</formula>
    </cfRule>
  </conditionalFormatting>
  <conditionalFormatting sqref="AG9:AG12 AG15:AG17">
    <cfRule type="cellIs" dxfId="96" priority="244" stopIfTrue="1" operator="notBetween">
      <formula>$AG$25</formula>
      <formula>$AG$26</formula>
    </cfRule>
  </conditionalFormatting>
  <conditionalFormatting sqref="AH9:AH12 AH15:AH17">
    <cfRule type="cellIs" dxfId="95" priority="243" stopIfTrue="1" operator="notBetween">
      <formula>$AH$25</formula>
      <formula>$AH$26</formula>
    </cfRule>
  </conditionalFormatting>
  <conditionalFormatting sqref="AI9:AI12 AI15:AI17">
    <cfRule type="cellIs" dxfId="94" priority="242" stopIfTrue="1" operator="notBetween">
      <formula>$AI$25</formula>
      <formula>$AI$26</formula>
    </cfRule>
  </conditionalFormatting>
  <conditionalFormatting sqref="AJ9:AJ12 AJ15:AJ17">
    <cfRule type="cellIs" dxfId="93" priority="241" stopIfTrue="1" operator="notBetween">
      <formula>$AJ$25</formula>
      <formula>$AJ$26</formula>
    </cfRule>
  </conditionalFormatting>
  <conditionalFormatting sqref="AK15:AK17 AK9:AK12">
    <cfRule type="cellIs" dxfId="92" priority="240" stopIfTrue="1" operator="notBetween">
      <formula>$AK$25</formula>
      <formula>$AK$26</formula>
    </cfRule>
  </conditionalFormatting>
  <conditionalFormatting sqref="AL9:AL12 AL15:AL17">
    <cfRule type="cellIs" dxfId="91" priority="237" stopIfTrue="1" operator="notBetween">
      <formula>$AL$25</formula>
      <formula>$AL$26</formula>
    </cfRule>
  </conditionalFormatting>
  <conditionalFormatting sqref="AM9:AM12 AM15:AM17">
    <cfRule type="cellIs" dxfId="90" priority="236" stopIfTrue="1" operator="notBetween">
      <formula>$AM$25</formula>
      <formula>$AM$26</formula>
    </cfRule>
  </conditionalFormatting>
  <conditionalFormatting sqref="AN9:AN12 AN15:AN17">
    <cfRule type="cellIs" dxfId="89" priority="235" stopIfTrue="1" operator="notBetween">
      <formula>$AN$25</formula>
      <formula>$AN$26</formula>
    </cfRule>
  </conditionalFormatting>
  <conditionalFormatting sqref="AP9:AP12 AP15:AP17">
    <cfRule type="cellIs" dxfId="88" priority="234" stopIfTrue="1" operator="notBetween">
      <formula>$AP$25</formula>
      <formula>$AP$26</formula>
    </cfRule>
  </conditionalFormatting>
  <conditionalFormatting sqref="AQ9:AQ12 AQ15:AQ17">
    <cfRule type="cellIs" dxfId="87" priority="233" stopIfTrue="1" operator="notBetween">
      <formula>$AQ$25</formula>
      <formula>$AQ$26</formula>
    </cfRule>
  </conditionalFormatting>
  <conditionalFormatting sqref="AR9:AR12 AR15:AR17">
    <cfRule type="cellIs" dxfId="86" priority="232" stopIfTrue="1" operator="notBetween">
      <formula>$AR$25</formula>
      <formula>$AR$26</formula>
    </cfRule>
  </conditionalFormatting>
  <conditionalFormatting sqref="AS15:AS17 AS9:AS12">
    <cfRule type="cellIs" dxfId="85" priority="231" stopIfTrue="1" operator="notBetween">
      <formula>$AS$25</formula>
      <formula>$AS$26</formula>
    </cfRule>
  </conditionalFormatting>
  <conditionalFormatting sqref="AT9:AT12 AT15:AT17">
    <cfRule type="cellIs" dxfId="84" priority="229" stopIfTrue="1" operator="notBetween">
      <formula>$AT$25</formula>
      <formula>$AT$26</formula>
    </cfRule>
  </conditionalFormatting>
  <conditionalFormatting sqref="AU9:AU12 AU15:AU17">
    <cfRule type="cellIs" dxfId="83" priority="228" stopIfTrue="1" operator="notBetween">
      <formula>$AU$25</formula>
      <formula>$AU$26</formula>
    </cfRule>
  </conditionalFormatting>
  <conditionalFormatting sqref="AV9:AV12 AV15:AV17">
    <cfRule type="cellIs" dxfId="82" priority="227" stopIfTrue="1" operator="notBetween">
      <formula>$AV$25</formula>
      <formula>$AV$26</formula>
    </cfRule>
  </conditionalFormatting>
  <conditionalFormatting sqref="AX9:AX12 AX15:AX17">
    <cfRule type="cellIs" dxfId="81" priority="226" stopIfTrue="1" operator="notBetween">
      <formula>$AX$25</formula>
      <formula>$AX$26</formula>
    </cfRule>
  </conditionalFormatting>
  <conditionalFormatting sqref="AZ9:AZ12 AZ15:AZ17">
    <cfRule type="cellIs" dxfId="80" priority="225" stopIfTrue="1" operator="notBetween">
      <formula>$AZ$25</formula>
      <formula>$AZ$26</formula>
    </cfRule>
  </conditionalFormatting>
  <conditionalFormatting sqref="O9:O12 O15:O17">
    <cfRule type="cellIs" dxfId="79" priority="224" stopIfTrue="1" operator="notBetween">
      <formula>$O$25</formula>
      <formula>$O$26</formula>
    </cfRule>
  </conditionalFormatting>
  <conditionalFormatting sqref="G9">
    <cfRule type="expression" dxfId="78" priority="288" stopIfTrue="1">
      <formula>IF(G9&lt;&gt;I9,TRUE,FALSE)</formula>
    </cfRule>
  </conditionalFormatting>
  <conditionalFormatting sqref="Z9:Z12 Z15:Z17">
    <cfRule type="cellIs" dxfId="77" priority="203" stopIfTrue="1" operator="notBetween">
      <formula>$Z$25</formula>
      <formula>$Z$26</formula>
    </cfRule>
  </conditionalFormatting>
  <conditionalFormatting sqref="AO9:AO12 AO15:AO17">
    <cfRule type="cellIs" dxfId="76" priority="202" stopIfTrue="1" operator="notBetween">
      <formula>$AO$25</formula>
      <formula>$AO$26</formula>
    </cfRule>
  </conditionalFormatting>
  <conditionalFormatting sqref="J15:J17 J9:J12">
    <cfRule type="cellIs" dxfId="75" priority="2358" stopIfTrue="1" operator="notBetween">
      <formula>$J$25</formula>
      <formula>$J$26</formula>
    </cfRule>
  </conditionalFormatting>
  <conditionalFormatting sqref="E15:E17 E9:E12">
    <cfRule type="cellIs" dxfId="74" priority="201" stopIfTrue="1" operator="notBetween">
      <formula>$E$25</formula>
      <formula>$E$26</formula>
    </cfRule>
  </conditionalFormatting>
  <conditionalFormatting sqref="I11">
    <cfRule type="cellIs" dxfId="73" priority="2414" stopIfTrue="1" operator="greaterThan">
      <formula>#REF!</formula>
    </cfRule>
    <cfRule type="cellIs" dxfId="72" priority="2415" stopIfTrue="1" operator="lessThan">
      <formula>#REF!</formula>
    </cfRule>
  </conditionalFormatting>
  <conditionalFormatting sqref="I12">
    <cfRule type="cellIs" dxfId="71" priority="2416" stopIfTrue="1" operator="greaterThan">
      <formula>#REF!</formula>
    </cfRule>
    <cfRule type="cellIs" dxfId="70" priority="2417" stopIfTrue="1" operator="lessThan">
      <formula>#REF!</formula>
    </cfRule>
  </conditionalFormatting>
  <conditionalFormatting sqref="U9">
    <cfRule type="cellIs" dxfId="69" priority="106" stopIfTrue="1" operator="greaterThan">
      <formula>$BW$9</formula>
    </cfRule>
    <cfRule type="cellIs" dxfId="68" priority="107" stopIfTrue="1" operator="lessThan">
      <formula>$BW$9</formula>
    </cfRule>
  </conditionalFormatting>
  <conditionalFormatting sqref="U10">
    <cfRule type="cellIs" dxfId="67" priority="102" stopIfTrue="1" operator="greaterThan">
      <formula>$BW$10</formula>
    </cfRule>
    <cfRule type="cellIs" dxfId="66" priority="103" stopIfTrue="1" operator="lessThan">
      <formula>$BW$10</formula>
    </cfRule>
  </conditionalFormatting>
  <conditionalFormatting sqref="U11">
    <cfRule type="cellIs" dxfId="65" priority="98" stopIfTrue="1" operator="greaterThan">
      <formula>$BW$11</formula>
    </cfRule>
    <cfRule type="cellIs" dxfId="64" priority="99" stopIfTrue="1" operator="lessThan">
      <formula>$BW$11</formula>
    </cfRule>
  </conditionalFormatting>
  <conditionalFormatting sqref="U12">
    <cfRule type="cellIs" dxfId="63" priority="96" stopIfTrue="1" operator="greaterThan">
      <formula>$BW$12</formula>
    </cfRule>
    <cfRule type="cellIs" dxfId="62" priority="97" stopIfTrue="1" operator="lessThan">
      <formula>$BW$12</formula>
    </cfRule>
  </conditionalFormatting>
  <conditionalFormatting sqref="U15">
    <cfRule type="cellIs" dxfId="61" priority="82" stopIfTrue="1" operator="greaterThan">
      <formula>$BW$15</formula>
    </cfRule>
    <cfRule type="cellIs" dxfId="60" priority="83" stopIfTrue="1" operator="lessThan">
      <formula>$BW$15</formula>
    </cfRule>
  </conditionalFormatting>
  <conditionalFormatting sqref="U16">
    <cfRule type="cellIs" dxfId="59" priority="80" stopIfTrue="1" operator="greaterThan">
      <formula>$BW$16</formula>
    </cfRule>
    <cfRule type="cellIs" dxfId="58" priority="81" stopIfTrue="1" operator="lessThan">
      <formula>$BW$16</formula>
    </cfRule>
  </conditionalFormatting>
  <conditionalFormatting sqref="U17">
    <cfRule type="cellIs" dxfId="57" priority="78" stopIfTrue="1" operator="greaterThan">
      <formula>$BW$17</formula>
    </cfRule>
    <cfRule type="cellIs" dxfId="56" priority="79" stopIfTrue="1" operator="lessThan">
      <formula>$BW$17</formula>
    </cfRule>
  </conditionalFormatting>
  <conditionalFormatting sqref="AW9:AW12 AW15:AW17">
    <cfRule type="cellIs" dxfId="55" priority="16" stopIfTrue="1" operator="notBetween">
      <formula>$AW$25</formula>
      <formula>$AW$26</formula>
    </cfRule>
  </conditionalFormatting>
  <conditionalFormatting sqref="AY9:AY12 AY15:AY17">
    <cfRule type="cellIs" dxfId="54" priority="15" stopIfTrue="1" operator="notBetween">
      <formula>$AY$25</formula>
      <formula>$AY$26</formula>
    </cfRule>
  </conditionalFormatting>
  <conditionalFormatting sqref="BA9:BA12 BA15:BA17">
    <cfRule type="cellIs" dxfId="53" priority="1" stopIfTrue="1" operator="notBetween">
      <formula>$BA$25</formula>
      <formula>$BA$26</formula>
    </cfRule>
  </conditionalFormatting>
  <conditionalFormatting sqref="BB14:BB17 BB9:BB12">
    <cfRule type="expression" dxfId="52" priority="4415"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824</v>
      </c>
    </row>
    <row r="3" spans="2:5" ht="16.5" customHeight="1" thickBot="1">
      <c r="B3" s="1143" t="s">
        <v>825</v>
      </c>
      <c r="C3" s="1143" t="s">
        <v>826</v>
      </c>
      <c r="D3" s="1143" t="s">
        <v>827</v>
      </c>
      <c r="E3" s="1151" t="s">
        <v>832</v>
      </c>
    </row>
  </sheetData>
  <sheetProtection algorithmName="SHA-512" hashValue="Cp26365oer/0elmf8VdLPmtzz3PKpYqv0jscNq8Wx1A1r5r6Smzg+ISqyukzy2AsD7TAmf6eQpFLMZ8Z9rEAiA==" saltValue="F7+X2licb+n19Tj32Ylu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ANDALUCIA</v>
      </c>
      <c r="W1"/>
      <c r="X1"/>
    </row>
    <row r="2" spans="1:65" ht="16.5" customHeight="1">
      <c r="C2" s="491" t="str">
        <f>Criterios!A10 &amp;"  "&amp;Criterios!B10 &amp; "  " &amp; IF(NOT(ISBLANK(Criterios!A11)),Criterios!A11 &amp;"  "&amp;Criterios!B11,"")</f>
        <v>Provincias  SEVILLA  Resumenes por Partidos Judiciales  CARMONA</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54" t="s">
        <v>354</v>
      </c>
      <c r="B5" s="275"/>
      <c r="C5" s="1254" t="str">
        <f>"Año:  " &amp;Criterios!B$5 &amp; "          Trimestre   " &amp;Criterios!D$5 &amp; " al " &amp;Criterios!D$6</f>
        <v>Año:  2023          Trimestre   4 al 4</v>
      </c>
      <c r="D5" s="1480" t="s">
        <v>428</v>
      </c>
      <c r="E5" s="1480" t="s">
        <v>564</v>
      </c>
      <c r="F5" s="1491" t="s">
        <v>410</v>
      </c>
      <c r="G5" s="1480" t="s">
        <v>128</v>
      </c>
      <c r="H5" s="1480" t="s">
        <v>697</v>
      </c>
      <c r="I5" s="1480" t="s">
        <v>698</v>
      </c>
      <c r="J5" s="1480" t="s">
        <v>701</v>
      </c>
      <c r="K5" s="1480" t="s">
        <v>702</v>
      </c>
      <c r="L5" s="1480" t="s">
        <v>592</v>
      </c>
      <c r="M5" s="1480" t="s">
        <v>723</v>
      </c>
      <c r="N5" s="1480" t="s">
        <v>703</v>
      </c>
      <c r="O5" s="1480" t="s">
        <v>699</v>
      </c>
      <c r="P5" s="1480" t="s">
        <v>170</v>
      </c>
      <c r="Q5" s="1480" t="s">
        <v>680</v>
      </c>
      <c r="R5" s="1480" t="s">
        <v>724</v>
      </c>
      <c r="S5" s="1480" t="str">
        <f>"Ingreso Computable 2003" &amp; IF(OR(EXACT(LEFT(boletin,2),"04"),EXACT(LEFT(boletin,2),"14"),EXACT(LEFT(boletin,2),"17"))," (Civil + Penal)","")</f>
        <v>Ingreso Computable 2003</v>
      </c>
      <c r="T5" s="1480" t="s">
        <v>700</v>
      </c>
      <c r="U5" s="1486" t="str">
        <f>"% Ingreso Computable 2003" &amp; IF(OR(EXACT(LEFT(boletin,2),"04"),EXACT(LEFT(boletin,2),"14"),EXACT(LEFT(boletin,2),"17"))," (Civil + Penal)","")</f>
        <v>% Ingreso Computable 2003</v>
      </c>
      <c r="V5" s="1486" t="s">
        <v>704</v>
      </c>
      <c r="W5" s="1480" t="s">
        <v>769</v>
      </c>
      <c r="X5" s="1480" t="s">
        <v>770</v>
      </c>
      <c r="Y5" s="1500" t="s">
        <v>671</v>
      </c>
      <c r="Z5" s="1537" t="str">
        <f>"RESOLUCION Nº  H/P" &amp; IF(OR(EXACT(LEFT(boletin,2),"04"),EXACT(LEFT(boletin,2),"14"),EXACT(LEFT(boletin,2),"17"))," (Civil + Penal)","")</f>
        <v>RESOLUCION Nº  H/P</v>
      </c>
      <c r="AA5" s="1540" t="str">
        <f>" % S/Iindicador  De  Resolución (Horas punto)" &amp; IF(OR(EXACT(LEFT(boletin,2),"04"),EXACT(LEFT(boletin,2),"14"),EXACT(LEFT(boletin,2),"17"))," (Civil + Penal)","")</f>
        <v xml:space="preserve"> % S/Iindicador  De  Resolución (Horas punto)</v>
      </c>
      <c r="AB5" s="1537" t="s">
        <v>705</v>
      </c>
      <c r="AC5" s="1537" t="s">
        <v>706</v>
      </c>
      <c r="AD5" s="1537" t="s">
        <v>707</v>
      </c>
      <c r="AE5" s="1537" t="s">
        <v>708</v>
      </c>
      <c r="AF5" s="1480" t="s">
        <v>709</v>
      </c>
      <c r="AG5" s="1480" t="s">
        <v>710</v>
      </c>
      <c r="AH5" s="1480" t="s">
        <v>711</v>
      </c>
      <c r="AI5" s="1480" t="s">
        <v>712</v>
      </c>
      <c r="AJ5" s="1480" t="s">
        <v>184</v>
      </c>
      <c r="AK5" s="1509" t="s">
        <v>543</v>
      </c>
      <c r="AL5" s="1509" t="s">
        <v>185</v>
      </c>
      <c r="AM5" s="1480" t="s">
        <v>574</v>
      </c>
      <c r="AN5" s="1480" t="s">
        <v>250</v>
      </c>
      <c r="AO5" s="1480" t="s">
        <v>251</v>
      </c>
      <c r="AP5" s="1480" t="s">
        <v>713</v>
      </c>
      <c r="AQ5" s="1480" t="s">
        <v>714</v>
      </c>
      <c r="AR5" s="1480" t="s">
        <v>715</v>
      </c>
      <c r="AS5" s="1480" t="s">
        <v>716</v>
      </c>
      <c r="AT5" s="1480" t="s">
        <v>717</v>
      </c>
      <c r="AU5" s="1480" t="s">
        <v>718</v>
      </c>
      <c r="AV5" s="1480" t="s">
        <v>719</v>
      </c>
      <c r="AW5" s="1480" t="s">
        <v>720</v>
      </c>
      <c r="AX5" s="1480" t="s">
        <v>846</v>
      </c>
      <c r="AY5" s="1480" t="s">
        <v>849</v>
      </c>
      <c r="AZ5" s="1480" t="s">
        <v>721</v>
      </c>
      <c r="BA5" s="1480" t="s">
        <v>722</v>
      </c>
      <c r="BB5" s="1480" t="s">
        <v>542</v>
      </c>
      <c r="BC5" s="1316" t="s">
        <v>729</v>
      </c>
      <c r="BD5" s="1316" t="s">
        <v>730</v>
      </c>
      <c r="BE5" s="1491" t="s">
        <v>731</v>
      </c>
      <c r="BF5" s="1545"/>
      <c r="BG5" s="1546"/>
      <c r="BH5" s="1545"/>
      <c r="BI5" s="1546"/>
      <c r="BJ5" s="1545"/>
      <c r="BK5" s="1546"/>
      <c r="BL5" s="1545"/>
      <c r="BM5" s="1546"/>
    </row>
    <row r="6" spans="1:65" ht="21.75" customHeight="1">
      <c r="A6" s="1534"/>
      <c r="B6" s="662"/>
      <c r="C6" s="1536"/>
      <c r="D6" s="1481"/>
      <c r="E6" s="1481"/>
      <c r="F6" s="1492"/>
      <c r="G6" s="1481"/>
      <c r="H6" s="1481"/>
      <c r="I6" s="1481"/>
      <c r="J6" s="1481"/>
      <c r="K6" s="1481"/>
      <c r="L6" s="1481"/>
      <c r="M6" s="1481"/>
      <c r="N6" s="1481"/>
      <c r="O6" s="1481"/>
      <c r="P6" s="1481"/>
      <c r="Q6" s="1481"/>
      <c r="R6" s="1481"/>
      <c r="S6" s="1481"/>
      <c r="T6" s="1481"/>
      <c r="U6" s="1487"/>
      <c r="V6" s="1487"/>
      <c r="W6" s="1481"/>
      <c r="X6" s="1481"/>
      <c r="Y6" s="1501"/>
      <c r="Z6" s="1538"/>
      <c r="AA6" s="1541"/>
      <c r="AB6" s="1538"/>
      <c r="AC6" s="1538"/>
      <c r="AD6" s="1538"/>
      <c r="AE6" s="1538"/>
      <c r="AF6" s="1481"/>
      <c r="AG6" s="1481"/>
      <c r="AH6" s="1481"/>
      <c r="AI6" s="1481"/>
      <c r="AJ6" s="1481"/>
      <c r="AK6" s="1510"/>
      <c r="AL6" s="1510"/>
      <c r="AM6" s="1481"/>
      <c r="AN6" s="1481"/>
      <c r="AO6" s="1481"/>
      <c r="AP6" s="1481"/>
      <c r="AQ6" s="1481"/>
      <c r="AR6" s="1481"/>
      <c r="AS6" s="1481"/>
      <c r="AT6" s="1481"/>
      <c r="AU6" s="1481"/>
      <c r="AV6" s="1481"/>
      <c r="AW6" s="1481"/>
      <c r="AX6" s="1481"/>
      <c r="AY6" s="1481"/>
      <c r="AZ6" s="1481"/>
      <c r="BA6" s="1481"/>
      <c r="BB6" s="1481"/>
      <c r="BC6" s="1317"/>
      <c r="BD6" s="1317"/>
      <c r="BE6" s="1492"/>
      <c r="BF6" s="1543"/>
      <c r="BG6" s="1543"/>
      <c r="BH6" s="1543"/>
      <c r="BI6" s="1543"/>
      <c r="BJ6" s="1543"/>
      <c r="BK6" s="1543"/>
      <c r="BL6" s="1543"/>
      <c r="BM6" s="1543"/>
    </row>
    <row r="7" spans="1:65" ht="38.25" customHeight="1" thickBot="1">
      <c r="A7" s="1535"/>
      <c r="B7" s="663"/>
      <c r="C7" s="664" t="str">
        <f>Datos!A7</f>
        <v>COMPETENCIAS</v>
      </c>
      <c r="D7" s="1482"/>
      <c r="E7" s="1482"/>
      <c r="F7" s="1493"/>
      <c r="G7" s="1482"/>
      <c r="H7" s="1482"/>
      <c r="I7" s="1482"/>
      <c r="J7" s="1482"/>
      <c r="K7" s="1482"/>
      <c r="L7" s="1482"/>
      <c r="M7" s="1482"/>
      <c r="N7" s="1482"/>
      <c r="O7" s="1482"/>
      <c r="P7" s="1482"/>
      <c r="Q7" s="1482"/>
      <c r="R7" s="1482"/>
      <c r="S7" s="1482"/>
      <c r="T7" s="1482"/>
      <c r="U7" s="1488"/>
      <c r="V7" s="1488"/>
      <c r="W7" s="1482"/>
      <c r="X7" s="1482"/>
      <c r="Y7" s="1502"/>
      <c r="Z7" s="1539"/>
      <c r="AA7" s="1542"/>
      <c r="AB7" s="1539"/>
      <c r="AC7" s="1539"/>
      <c r="AD7" s="1539"/>
      <c r="AE7" s="1539"/>
      <c r="AF7" s="1482"/>
      <c r="AG7" s="1482"/>
      <c r="AH7" s="1482"/>
      <c r="AI7" s="1482"/>
      <c r="AJ7" s="1482"/>
      <c r="AK7" s="1511"/>
      <c r="AL7" s="1511"/>
      <c r="AM7" s="1482"/>
      <c r="AN7" s="1482"/>
      <c r="AO7" s="1482"/>
      <c r="AP7" s="1482"/>
      <c r="AQ7" s="1482"/>
      <c r="AR7" s="1482"/>
      <c r="AS7" s="1482"/>
      <c r="AT7" s="1482"/>
      <c r="AU7" s="1482"/>
      <c r="AV7" s="1482"/>
      <c r="AW7" s="1482"/>
      <c r="AX7" s="1482"/>
      <c r="AY7" s="1482"/>
      <c r="AZ7" s="1482"/>
      <c r="BA7" s="1482"/>
      <c r="BB7" s="1482"/>
      <c r="BC7" s="1547"/>
      <c r="BD7" s="1547"/>
      <c r="BE7" s="1493"/>
      <c r="BF7" s="1544"/>
      <c r="BG7" s="1544"/>
      <c r="BH7" s="1544"/>
      <c r="BI7" s="1544"/>
      <c r="BJ7" s="1544"/>
      <c r="BK7" s="1544"/>
      <c r="BL7" s="1544"/>
      <c r="BM7" s="1544"/>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249</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249</v>
      </c>
      <c r="C10" s="7" t="str">
        <f>Datos!A10</f>
        <v>Jdos. Violencia contra la mujer</v>
      </c>
      <c r="D10" s="511"/>
      <c r="E10" s="685">
        <f>IF(ISNUMBER(Datos!AQ10),Datos!AQ10," - ")</f>
        <v>0</v>
      </c>
      <c r="F10" s="686">
        <f>IF(ISNUMBER(Datos!L10+Datos!K10-Datos!J10),Datos!L10+Datos!K10-Datos!J10," - ")</f>
        <v>37</v>
      </c>
      <c r="G10" s="687">
        <f>IF(ISNUMBER(Datos!I10),Datos!I10," - ")</f>
        <v>37</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0</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10</v>
      </c>
      <c r="AC10" s="686" t="str">
        <f>IF(ISNUMBER(IF(D_I="SI",DatosP!K17,DatosP!K17+DatosP!AE17)),IF(D_I="SI",DatosP!K17,DatosP!K17+DatosP!AE17)," - ")</f>
        <v xml:space="preserve"> - </v>
      </c>
      <c r="AD10" s="688"/>
      <c r="AE10" s="688"/>
      <c r="AF10" s="691">
        <f>IF(ISNUMBER(Datos!L10),Datos!L10,"-")</f>
        <v>37</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7</v>
      </c>
      <c r="AM10" s="693">
        <f>IF(ISNUMBER(Datos!N10+DatosP!N17),Datos!N10+DatosP!N17," - ")</f>
        <v>1</v>
      </c>
      <c r="AN10" s="693">
        <f>IF(ISNUMBER(Datos!BW10+DatosP!BW17),Datos!BW10+DatosP!BW17," - ")</f>
        <v>0</v>
      </c>
      <c r="AO10" s="694">
        <f>IF(ISNUMBER(Datos!BX10+DatosP!BX17),Datos!BX10+DatosP!BX17," - ")</f>
        <v>0</v>
      </c>
      <c r="AP10" s="696">
        <f>IF(ISNUMBER(((Datos!L10/Datos!K10)*11)/factor_trimestre),((Datos!L10/Datos!K10)*11)/factor_trimestre," - ")</f>
        <v>11.100000000000001</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249</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3</v>
      </c>
      <c r="B12" s="510" t="s">
        <v>249</v>
      </c>
      <c r="C12" s="7" t="str">
        <f>Datos!A12</f>
        <v xml:space="preserve">Jdos. 1ª Instª. e Instr.                        </v>
      </c>
      <c r="D12" s="511"/>
      <c r="E12" s="685">
        <f>IF(ISNUMBER(Datos!AQ12),Datos!AQ12," - ")</f>
        <v>3</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220</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253</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2914</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213</v>
      </c>
      <c r="AM12" s="693">
        <f>IF(ISNUMBER(Datos!N12+DatosP!N16),Datos!N12+DatosP!N16," - ")</f>
        <v>310</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9.1823394495412867</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-1.1197828299966068E-2</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3</v>
      </c>
      <c r="F13" s="941">
        <f t="shared" si="0"/>
        <v>37</v>
      </c>
      <c r="G13" s="941">
        <f t="shared" si="0"/>
        <v>37</v>
      </c>
      <c r="H13" s="941">
        <f t="shared" si="0"/>
        <v>0</v>
      </c>
      <c r="I13" s="943">
        <f t="shared" si="0"/>
        <v>0</v>
      </c>
      <c r="J13" s="942">
        <f t="shared" si="0"/>
        <v>0</v>
      </c>
      <c r="K13" s="942">
        <f t="shared" si="0"/>
        <v>0</v>
      </c>
      <c r="L13" s="944">
        <f t="shared" si="0"/>
        <v>0</v>
      </c>
      <c r="M13" s="944">
        <f t="shared" si="0"/>
        <v>0</v>
      </c>
      <c r="N13" s="942">
        <f t="shared" si="0"/>
        <v>220</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10</v>
      </c>
      <c r="AC13" s="942">
        <f t="shared" si="1"/>
        <v>0</v>
      </c>
      <c r="AD13" s="942">
        <f t="shared" si="1"/>
        <v>253</v>
      </c>
      <c r="AE13" s="942">
        <f t="shared" si="1"/>
        <v>0</v>
      </c>
      <c r="AF13" s="942">
        <f t="shared" si="1"/>
        <v>37</v>
      </c>
      <c r="AG13" s="942">
        <f t="shared" si="1"/>
        <v>0</v>
      </c>
      <c r="AH13" s="942">
        <f t="shared" si="1"/>
        <v>2914</v>
      </c>
      <c r="AI13" s="942">
        <f t="shared" si="1"/>
        <v>0</v>
      </c>
      <c r="AJ13" s="942">
        <f t="shared" si="1"/>
        <v>0</v>
      </c>
      <c r="AK13" s="942">
        <f t="shared" si="1"/>
        <v>0</v>
      </c>
      <c r="AL13" s="942">
        <f t="shared" si="1"/>
        <v>220</v>
      </c>
      <c r="AM13" s="942">
        <f t="shared" si="1"/>
        <v>311</v>
      </c>
      <c r="AN13" s="942">
        <f t="shared" si="1"/>
        <v>0</v>
      </c>
      <c r="AO13" s="942">
        <f t="shared" si="1"/>
        <v>0</v>
      </c>
      <c r="AP13" s="947">
        <f>IF(ISNUMBER(((Datos!L13/Datos!K13)*11)/factor_trimestre),((Datos!L13/Datos!K13)*11)/factor_trimestre," - ")</f>
        <v>9.6804878048780498</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-0.27027027027027029</v>
      </c>
      <c r="AU13" s="942" t="str">
        <f>IF(ISNUMBER((DatosP!#REF!-DatosP!#REF!+DatosP!#REF!)/(DatosP!#REF!+DatosP!#REF!-DatosP!#REF!-DatosP!#REF!)),(DatosP!#REF!-DatosP!#REF!+DatosP!#REF!)/(DatosP!#REF!+DatosP!#REF!-DatosP!#REF!-DatosP!#REF!)," - ")</f>
        <v xml:space="preserve"> - </v>
      </c>
      <c r="AV13" s="948">
        <f>SUBTOTAL(9,AV9:AV12)</f>
        <v>-1.1197828299966068E-2</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400</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3</v>
      </c>
      <c r="B16" s="510" t="s">
        <v>400</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400</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3.3016304347826093</v>
      </c>
      <c r="AQ18" s="947">
        <f>IF(ISNUMBER(((Datos!M18/Datos!L18)*11)/factor_trimestre),((Datos!M18/Datos!L18)*11)/factor_trimestre," - ")</f>
        <v>0.27407407407407408</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0.16091954022988506</v>
      </c>
      <c r="AW18" s="949">
        <f>IF(ISNUMBER((Datos!Q18-Datos!R18)/(Datos!S18-Datos!Q18+Datos!R18)),(Datos!Q18-Datos!R18)/(Datos!S18-Datos!Q18+Datos!R18)," - ")</f>
        <v>-5.6743421052631582E-2</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3</v>
      </c>
      <c r="F19" s="954">
        <f t="shared" si="4"/>
        <v>37</v>
      </c>
      <c r="G19" s="954">
        <f t="shared" si="4"/>
        <v>37</v>
      </c>
      <c r="H19" s="954">
        <f t="shared" si="4"/>
        <v>0</v>
      </c>
      <c r="I19" s="955">
        <f t="shared" si="4"/>
        <v>0</v>
      </c>
      <c r="J19" s="956">
        <f t="shared" si="4"/>
        <v>0</v>
      </c>
      <c r="K19" s="956">
        <f t="shared" si="4"/>
        <v>0</v>
      </c>
      <c r="L19" s="956">
        <f t="shared" si="4"/>
        <v>0</v>
      </c>
      <c r="M19" s="956">
        <f t="shared" si="4"/>
        <v>0</v>
      </c>
      <c r="N19" s="955">
        <f t="shared" si="4"/>
        <v>220</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10</v>
      </c>
      <c r="AC19" s="960">
        <f t="shared" si="5"/>
        <v>0</v>
      </c>
      <c r="AD19" s="960">
        <f t="shared" si="5"/>
        <v>253</v>
      </c>
      <c r="AE19" s="960">
        <f t="shared" si="5"/>
        <v>0</v>
      </c>
      <c r="AF19" s="961">
        <f t="shared" si="5"/>
        <v>37</v>
      </c>
      <c r="AG19" s="961">
        <f t="shared" si="5"/>
        <v>0</v>
      </c>
      <c r="AH19" s="961">
        <f t="shared" si="5"/>
        <v>2914</v>
      </c>
      <c r="AI19" s="961">
        <f t="shared" si="5"/>
        <v>0</v>
      </c>
      <c r="AJ19" s="962">
        <f t="shared" si="5"/>
        <v>0</v>
      </c>
      <c r="AK19" s="962">
        <f t="shared" si="5"/>
        <v>0</v>
      </c>
      <c r="AL19" s="954">
        <f t="shared" si="5"/>
        <v>220</v>
      </c>
      <c r="AM19" s="954">
        <f t="shared" si="5"/>
        <v>311</v>
      </c>
      <c r="AN19" s="954">
        <f t="shared" si="5"/>
        <v>0</v>
      </c>
      <c r="AO19" s="954">
        <f t="shared" si="5"/>
        <v>0</v>
      </c>
      <c r="AP19" s="954">
        <f>IF(ISNUMBER(((Datos!L19/Datos!K19)*11)/factor_trimestre),((Datos!L19/Datos!K19)*11)/factor_trimestre," - ")</f>
        <v>6.0202702702702702</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-0.27027027027027029</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-6.2500000000000003E-3</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267</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24.666666666666668</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268</v>
      </c>
      <c r="D21" s="737"/>
      <c r="E21" s="738">
        <f>IF(ISNUMBER(STDEV(E8:E18)),STDEV(E8:E18),"-")</f>
        <v>1.5491933384829668</v>
      </c>
      <c r="F21" s="739">
        <f>IF(ISNUMBER(STDEV(F8:F18)),STDEV(F8:F18),"-")</f>
        <v>21.361959960016154</v>
      </c>
      <c r="G21" s="740">
        <f>IF(ISNUMBER(STDEV(G8:G18)),STDEV(G8:G18),"-")</f>
        <v>21.361959960016154</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5.7735026918962573</v>
      </c>
      <c r="AC21" s="741">
        <f>IF(ISNUMBER(STDEV(AC8:AC18)),STDEV(AC8:AC18),"-")</f>
        <v>0</v>
      </c>
      <c r="AD21" s="744"/>
      <c r="AE21" s="744"/>
      <c r="AF21" s="744"/>
      <c r="AG21" s="744"/>
      <c r="AH21" s="744"/>
      <c r="AI21" s="744"/>
      <c r="AJ21" s="745">
        <f>IF(ISNUMBER(STDEV(AJ8:AJ18)),STDEV(AJ8:AJ18),"-")</f>
        <v>0</v>
      </c>
      <c r="AK21" s="747"/>
      <c r="AL21" s="739">
        <f>IF(ISNUMBER(STDEV(AL8:AL18)),STDEV(AL8:AL18),"-")</f>
        <v>123.04199824992007</v>
      </c>
      <c r="AM21" s="739"/>
      <c r="AN21" s="739">
        <f>IF(ISNUMBER(STDEV(AN8:AN18)),STDEV(AN8:AN18),"-")</f>
        <v>0</v>
      </c>
      <c r="AO21" s="745">
        <f>IF(ISNUMBER(STDEV(AO8:AO18)),STDEV(AO8:AO18),"-")</f>
        <v>0</v>
      </c>
      <c r="AP21" s="782">
        <f>IF(ISNUMBER(STDEV(AP8:AP18)),STDEV(AP8:AP18),"-")</f>
        <v>3.4402969394952438</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428</v>
      </c>
      <c r="AU22" s="755" t="s">
        <v>428</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265</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266</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07 mar. 2024</v>
      </c>
      <c r="W30"/>
      <c r="X30"/>
    </row>
    <row r="32" spans="1:65">
      <c r="C32" s="777"/>
      <c r="D32" s="777"/>
      <c r="W32"/>
      <c r="X32"/>
    </row>
  </sheetData>
  <sheetProtection algorithmName="SHA-512" hashValue="lP8Y1cWcUhhqRyokoYFudwxvoz9EpqBpjIC1o+9T1TeZQv0nBLrdd70iPrFvhMCBjuYYYJSifC1WZFlwCMD+OA==" saltValue="FiF1/R+kGslOD5FJOOVw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2 F15:F17">
    <cfRule type="expression" dxfId="51" priority="126" stopIfTrue="1">
      <formula>IF(F9&lt;&gt;G9,TRUE,FALSE)</formula>
    </cfRule>
  </conditionalFormatting>
  <conditionalFormatting sqref="G10 G15:G17">
    <cfRule type="cellIs" dxfId="50" priority="127" stopIfTrue="1" operator="notBetween">
      <formula>$G$25</formula>
      <formula>$G$26</formula>
    </cfRule>
  </conditionalFormatting>
  <conditionalFormatting sqref="F9:F12 F15:F17">
    <cfRule type="cellIs" dxfId="49" priority="128" stopIfTrue="1" operator="notBetween">
      <formula>$F$25</formula>
      <formula>$F$26</formula>
    </cfRule>
  </conditionalFormatting>
  <conditionalFormatting sqref="BF9:BM12 BF15:BM17">
    <cfRule type="cellIs" dxfId="48" priority="129" stopIfTrue="1" operator="equal">
      <formula>$A$31</formula>
    </cfRule>
  </conditionalFormatting>
  <conditionalFormatting sqref="BF8:BM8 BF13:BM14 BF18:BM19">
    <cfRule type="cellIs" dxfId="47" priority="130" stopIfTrue="1" operator="equal">
      <formula>$A$31</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2 H15:H17">
    <cfRule type="cellIs" dxfId="42" priority="133" stopIfTrue="1" operator="notBetween">
      <formula>$H$25</formula>
      <formula>$H$26</formula>
    </cfRule>
  </conditionalFormatting>
  <conditionalFormatting sqref="K15:K17 K9:K12">
    <cfRule type="cellIs" dxfId="41" priority="113" stopIfTrue="1" operator="notBetween">
      <formula>$K$25</formula>
      <formula>$K$26</formula>
    </cfRule>
  </conditionalFormatting>
  <conditionalFormatting sqref="L9:L12 L15:L17">
    <cfRule type="cellIs" dxfId="40" priority="112" stopIfTrue="1" operator="notBetween">
      <formula>$L$25</formula>
      <formula>$L$26</formula>
    </cfRule>
  </conditionalFormatting>
  <conditionalFormatting sqref="P9:P12 P15:P17">
    <cfRule type="cellIs" dxfId="39" priority="111" stopIfTrue="1" operator="notBetween">
      <formula>$P$25</formula>
      <formula>$P$26</formula>
    </cfRule>
  </conditionalFormatting>
  <conditionalFormatting sqref="R9:R12 R15:R17">
    <cfRule type="cellIs" dxfId="38" priority="109" stopIfTrue="1" operator="notBetween">
      <formula>$R$25</formula>
      <formula>$R$26</formula>
    </cfRule>
  </conditionalFormatting>
  <conditionalFormatting sqref="S9:S12 S15:S17">
    <cfRule type="cellIs" dxfId="37" priority="108" stopIfTrue="1" operator="notBetween">
      <formula>$S$25</formula>
      <formula>$S$26</formula>
    </cfRule>
  </conditionalFormatting>
  <conditionalFormatting sqref="U9:U12 U15:U17">
    <cfRule type="cellIs" dxfId="36" priority="107" stopIfTrue="1" operator="notBetween">
      <formula>$U$25</formula>
      <formula>$U$26</formula>
    </cfRule>
  </conditionalFormatting>
  <conditionalFormatting sqref="Z15:Z17 Z9:Z12">
    <cfRule type="cellIs" dxfId="35" priority="104" stopIfTrue="1" operator="notBetween">
      <formula>$Z$25</formula>
      <formula>$Z$26</formula>
    </cfRule>
  </conditionalFormatting>
  <conditionalFormatting sqref="AA9:AA12 AA15:AA17">
    <cfRule type="cellIs" dxfId="34" priority="103" stopIfTrue="1" operator="notBetween">
      <formula>$AA$25</formula>
      <formula>$AA$26</formula>
    </cfRule>
  </conditionalFormatting>
  <conditionalFormatting sqref="AB9:AB12 AB15:AB17">
    <cfRule type="cellIs" dxfId="33" priority="102" stopIfTrue="1" operator="notBetween">
      <formula>$AB$25</formula>
      <formula>$AB$26</formula>
    </cfRule>
  </conditionalFormatting>
  <conditionalFormatting sqref="AF9:AF12 AF15:AF17">
    <cfRule type="cellIs" dxfId="32" priority="101" stopIfTrue="1" operator="notBetween">
      <formula>$AF$25</formula>
      <formula>$AF$26</formula>
    </cfRule>
  </conditionalFormatting>
  <conditionalFormatting sqref="AH15:AH17 AH9:AH12">
    <cfRule type="cellIs" dxfId="31" priority="100" stopIfTrue="1" operator="notBetween">
      <formula>$AH$25</formula>
      <formula>$AH$26</formula>
    </cfRule>
  </conditionalFormatting>
  <conditionalFormatting sqref="AJ15:AJ17 AJ9:AJ10 AJ12">
    <cfRule type="cellIs" dxfId="30" priority="94" stopIfTrue="1" operator="notBetween">
      <formula>$AJ$25</formula>
      <formula>$AJ$26</formula>
    </cfRule>
  </conditionalFormatting>
  <conditionalFormatting sqref="AK15:AK17 AK9:AK12">
    <cfRule type="cellIs" dxfId="29" priority="93" stopIfTrue="1" operator="notBetween">
      <formula>$AK$25</formula>
      <formula>$AK$26</formula>
    </cfRule>
  </conditionalFormatting>
  <conditionalFormatting sqref="AL15:AL17 AL9:AL12">
    <cfRule type="cellIs" dxfId="28" priority="89" stopIfTrue="1" operator="notBetween">
      <formula>$AL$25</formula>
      <formula>$AL$26</formula>
    </cfRule>
  </conditionalFormatting>
  <conditionalFormatting sqref="AM9:AM12 AM15:AM17">
    <cfRule type="cellIs" dxfId="27" priority="83" stopIfTrue="1" operator="notBetween">
      <formula>$AM$25</formula>
      <formula>$AM$26</formula>
    </cfRule>
  </conditionalFormatting>
  <conditionalFormatting sqref="AN9:AN12 AN15:AN17">
    <cfRule type="cellIs" dxfId="26" priority="82" stopIfTrue="1" operator="notBetween">
      <formula>$AN$25</formula>
      <formula>$AN$26</formula>
    </cfRule>
  </conditionalFormatting>
  <conditionalFormatting sqref="AO9:AO12 AO15:AO17">
    <cfRule type="cellIs" dxfId="25" priority="81" stopIfTrue="1" operator="notBetween">
      <formula>$AO$25</formula>
      <formula>$AO$26</formula>
    </cfRule>
  </conditionalFormatting>
  <conditionalFormatting sqref="AP9:AP12 AP15:AP17">
    <cfRule type="cellIs" dxfId="24" priority="80" stopIfTrue="1" operator="notBetween">
      <formula>$AP$25</formula>
      <formula>$AP$26</formula>
    </cfRule>
  </conditionalFormatting>
  <conditionalFormatting sqref="AR9:AR12 AR15:AR17">
    <cfRule type="cellIs" dxfId="23" priority="78" stopIfTrue="1" operator="notBetween">
      <formula>$AR$25</formula>
      <formula>$AR$26</formula>
    </cfRule>
  </conditionalFormatting>
  <conditionalFormatting sqref="AT15:AT17 AT9:AT12">
    <cfRule type="cellIs" dxfId="22" priority="77" stopIfTrue="1" operator="notBetween">
      <formula>$AT$25</formula>
      <formula>$AT$26</formula>
    </cfRule>
  </conditionalFormatting>
  <conditionalFormatting sqref="AV9:AV12 AV15:AV17">
    <cfRule type="cellIs" dxfId="21" priority="75" stopIfTrue="1" operator="notBetween">
      <formula>$AV$25</formula>
      <formula>$AV$26</formula>
    </cfRule>
  </conditionalFormatting>
  <conditionalFormatting sqref="AY15:AY17 AY9:AY12">
    <cfRule type="cellIs" dxfId="20" priority="74" stopIfTrue="1" operator="notBetween">
      <formula>$AY$25</formula>
      <formula>$AY$26</formula>
    </cfRule>
  </conditionalFormatting>
  <conditionalFormatting sqref="N9:N12 N15:N17">
    <cfRule type="cellIs" dxfId="19" priority="70" stopIfTrue="1" operator="notBetween">
      <formula>$N$25</formula>
      <formula>$N$26</formula>
    </cfRule>
  </conditionalFormatting>
  <conditionalFormatting sqref="I15:I17 I9:I12">
    <cfRule type="cellIs" dxfId="18" priority="61" stopIfTrue="1" operator="notBetween">
      <formula>$I$25</formula>
      <formula>$I$26</formula>
    </cfRule>
  </conditionalFormatting>
  <conditionalFormatting sqref="Y9:Y12 Y15:Y17">
    <cfRule type="cellIs" dxfId="17" priority="59" stopIfTrue="1" operator="notBetween">
      <formula>$Y$25</formula>
      <formula>$Y$26</formula>
    </cfRule>
  </conditionalFormatting>
  <conditionalFormatting sqref="AD9:AD12 AD15:AD17">
    <cfRule type="cellIs" dxfId="16" priority="49" stopIfTrue="1" operator="notBetween">
      <formula>$AD$25</formula>
      <formula>$AD$26</formula>
    </cfRule>
  </conditionalFormatting>
  <conditionalFormatting sqref="J15:J17 J9:J12">
    <cfRule type="cellIs" dxfId="15" priority="45" stopIfTrue="1" operator="notBetween">
      <formula>$J$25</formula>
      <formula>$J$26</formula>
    </cfRule>
  </conditionalFormatting>
  <conditionalFormatting sqref="O9:O12 O15:O17">
    <cfRule type="cellIs" dxfId="14" priority="44" stopIfTrue="1" operator="notBetween">
      <formula>$O$25</formula>
      <formula>$O$26</formula>
    </cfRule>
  </conditionalFormatting>
  <conditionalFormatting sqref="T15:T17 T9:T12">
    <cfRule type="cellIs" dxfId="13" priority="43" stopIfTrue="1" operator="notBetween">
      <formula>$T$25</formula>
      <formula>$T$26</formula>
    </cfRule>
  </conditionalFormatting>
  <conditionalFormatting sqref="V15:V17 V9:V12">
    <cfRule type="cellIs" dxfId="12" priority="42" stopIfTrue="1" operator="notBetween">
      <formula>$V$25</formula>
      <formula>$V$26</formula>
    </cfRule>
  </conditionalFormatting>
  <conditionalFormatting sqref="AC9:AC12 AC15:AC17">
    <cfRule type="cellIs" dxfId="11" priority="37" stopIfTrue="1" operator="notBetween">
      <formula>$AC$25</formula>
      <formula>$AC$26</formula>
    </cfRule>
  </conditionalFormatting>
  <conditionalFormatting sqref="AE9:AE12 AE15:AE17">
    <cfRule type="cellIs" dxfId="10" priority="36" stopIfTrue="1" operator="notBetween">
      <formula>$AE$25</formula>
      <formula>$AE$26</formula>
    </cfRule>
  </conditionalFormatting>
  <conditionalFormatting sqref="AG15:AG17 AG9:AG12">
    <cfRule type="cellIs" dxfId="9" priority="35" stopIfTrue="1" operator="notBetween">
      <formula>$AG$25</formula>
      <formula>$AG$26</formula>
    </cfRule>
  </conditionalFormatting>
  <conditionalFormatting sqref="AI15:AI17 AI9:AI12">
    <cfRule type="cellIs" dxfId="8" priority="34" stopIfTrue="1" operator="notBetween">
      <formula>$AI$25</formula>
      <formula>$AI$26</formula>
    </cfRule>
  </conditionalFormatting>
  <conditionalFormatting sqref="AQ15:AQ17 AQ9:AQ12">
    <cfRule type="cellIs" dxfId="7" priority="30" stopIfTrue="1" operator="notBetween">
      <formula>$AQ$25</formula>
      <formula>$AQ$26</formula>
    </cfRule>
  </conditionalFormatting>
  <conditionalFormatting sqref="AS15:AS17 AS9:AS12">
    <cfRule type="cellIs" dxfId="6" priority="29" stopIfTrue="1" operator="notBetween">
      <formula>$AS$25</formula>
      <formula>$AS$26</formula>
    </cfRule>
  </conditionalFormatting>
  <conditionalFormatting sqref="AW9:AW12 AW15:AW17">
    <cfRule type="cellIs" dxfId="5" priority="16" stopIfTrue="1" operator="notBetween">
      <formula>$AW$25</formula>
      <formula>$AW$26</formula>
    </cfRule>
  </conditionalFormatting>
  <conditionalFormatting sqref="AU15:AU17 AU8:AU12">
    <cfRule type="cellIs" dxfId="4" priority="15" stopIfTrue="1" operator="notBetween">
      <formula>$AU$25</formula>
      <formula>$AU$26</formula>
    </cfRule>
  </conditionalFormatting>
  <conditionalFormatting sqref="AX15:AX17 AX9:AX12">
    <cfRule type="cellIs" dxfId="3" priority="2" stopIfTrue="1" operator="notBetween">
      <formula>$AX$25</formula>
      <formula>$AX$26</formula>
    </cfRule>
  </conditionalFormatting>
  <conditionalFormatting sqref="E9:E12">
    <cfRule type="cellIs" dxfId="2" priority="4099" stopIfTrue="1" operator="notBetween">
      <formula>$E$25</formula>
      <formula>$E$26</formula>
    </cfRule>
  </conditionalFormatting>
  <conditionalFormatting sqref="AZ14:AZ17 AZ9:AZ12">
    <cfRule type="expression" dxfId="1" priority="4462" stopIfTrue="1">
      <formula>NOT(AND($AZ9-ultimoDiaTrim&gt;=$AZ$26,$AZ9-ultimoDiaTrim&lt;=$AZ$25))</formula>
    </cfRule>
  </conditionalFormatting>
  <conditionalFormatting sqref="BA14:BA17 BA9:BA12">
    <cfRule type="expression" dxfId="0" priority="4464"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2024-03-07T13:23:03Z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